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Drives compartilhados\🚍 FNDE\Cecate NE\_Celebração\"/>
    </mc:Choice>
  </mc:AlternateContent>
  <xr:revisionPtr revIDLastSave="0" documentId="13_ncr:1_{C426C2B1-7818-45E7-B772-6B66401B7FE5}" xr6:coauthVersionLast="47" xr6:coauthVersionMax="47" xr10:uidLastSave="{00000000-0000-0000-0000-000000000000}"/>
  <bookViews>
    <workbookView xWindow="-28920" yWindow="-30" windowWidth="29040" windowHeight="15840" tabRatio="867" xr2:uid="{00000000-000D-0000-FFFF-FFFF00000000}"/>
  </bookViews>
  <sheets>
    <sheet name="Despesas" sheetId="48" r:id="rId1"/>
    <sheet name="Metas Cecampe" sheetId="64" state="hidden" r:id="rId2"/>
    <sheet name="Cronograma de Desembolso" sheetId="45" r:id="rId3"/>
    <sheet name="Orçamento 24 meses" sheetId="16"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48" l="1"/>
  <c r="F29" i="48"/>
  <c r="F13" i="48" l="1"/>
  <c r="F12" i="48"/>
  <c r="F15" i="48" l="1"/>
  <c r="X15" i="64" l="1"/>
  <c r="W15" i="64"/>
  <c r="R15" i="64"/>
  <c r="O15" i="64"/>
  <c r="K15" i="64"/>
  <c r="J15" i="64"/>
  <c r="H15" i="64"/>
  <c r="G15" i="64"/>
  <c r="R14" i="64"/>
  <c r="K14" i="64"/>
  <c r="G14" i="64"/>
  <c r="R13" i="64"/>
  <c r="K13" i="64"/>
  <c r="G13" i="64"/>
  <c r="R12" i="64"/>
  <c r="K12" i="64"/>
  <c r="G12" i="64"/>
  <c r="R11" i="64"/>
  <c r="K11" i="64"/>
  <c r="G11" i="64"/>
  <c r="R10" i="64"/>
  <c r="K10" i="64"/>
  <c r="G10" i="64"/>
  <c r="R9" i="64"/>
  <c r="K9" i="64"/>
  <c r="G9" i="64"/>
  <c r="R8" i="64"/>
  <c r="K8" i="64"/>
  <c r="G8" i="64"/>
  <c r="R7" i="64"/>
  <c r="K7" i="64"/>
  <c r="G7" i="64"/>
  <c r="R6" i="64"/>
  <c r="K6" i="64"/>
  <c r="G6" i="64"/>
  <c r="R5" i="64"/>
  <c r="K5" i="64"/>
  <c r="G5" i="64"/>
  <c r="R4" i="64"/>
  <c r="K4" i="64"/>
  <c r="G4" i="64"/>
  <c r="R3" i="64"/>
  <c r="K3" i="64"/>
  <c r="G3" i="64"/>
  <c r="R2" i="64"/>
  <c r="K2" i="64"/>
  <c r="G2" i="64"/>
  <c r="A5" i="45"/>
  <c r="F26" i="48"/>
  <c r="F14" i="48"/>
  <c r="H10" i="64" l="1"/>
  <c r="J10" i="64" s="1"/>
  <c r="H3" i="64"/>
  <c r="J3" i="64" s="1"/>
  <c r="H11" i="64"/>
  <c r="J11" i="64" s="1"/>
  <c r="H5" i="64"/>
  <c r="J5" i="64" s="1"/>
  <c r="H12" i="64"/>
  <c r="J12" i="64" s="1"/>
  <c r="H6" i="64"/>
  <c r="J6" i="64" s="1"/>
  <c r="H13" i="64"/>
  <c r="J13" i="64" s="1"/>
  <c r="H7" i="64"/>
  <c r="J7" i="64" s="1"/>
  <c r="H9" i="64"/>
  <c r="J9" i="64" s="1"/>
  <c r="H14" i="64"/>
  <c r="J14" i="64" s="1"/>
  <c r="H4" i="64"/>
  <c r="J4" i="64" s="1"/>
  <c r="H8" i="64"/>
  <c r="J8" i="64" s="1"/>
  <c r="H2" i="64"/>
  <c r="J2" i="64" s="1"/>
  <c r="D4" i="48"/>
  <c r="K2" i="48"/>
  <c r="A7" i="45"/>
  <c r="A6" i="45"/>
  <c r="A4" i="45"/>
  <c r="A3" i="45"/>
  <c r="G2" i="48"/>
  <c r="H2" i="48" s="1"/>
  <c r="D10" i="48" l="1"/>
  <c r="D8" i="48"/>
  <c r="D9" i="48"/>
  <c r="F9" i="48" s="1"/>
  <c r="D7" i="48"/>
  <c r="F7" i="48" s="1"/>
  <c r="F10" i="48"/>
  <c r="F8" i="48"/>
  <c r="D30" i="48"/>
  <c r="F30" i="48" s="1"/>
  <c r="G30" i="48" s="1"/>
  <c r="I29" i="48"/>
  <c r="H29" i="48"/>
  <c r="G29" i="48"/>
  <c r="I30" i="48"/>
  <c r="D11" i="48"/>
  <c r="F11" i="48" s="1"/>
  <c r="I11" i="48" s="1"/>
  <c r="H12" i="48"/>
  <c r="G12" i="48"/>
  <c r="I12" i="48"/>
  <c r="G13" i="48"/>
  <c r="H13" i="48"/>
  <c r="I13" i="48"/>
  <c r="J3" i="48"/>
  <c r="G15" i="48"/>
  <c r="I15" i="48"/>
  <c r="H15" i="48"/>
  <c r="I2" i="48"/>
  <c r="S15" i="64"/>
  <c r="G26" i="48"/>
  <c r="I26" i="48"/>
  <c r="H26" i="48"/>
  <c r="I14" i="48"/>
  <c r="G14" i="48"/>
  <c r="H14" i="48"/>
  <c r="D28" i="48"/>
  <c r="F28" i="48" s="1"/>
  <c r="I28" i="48" s="1"/>
  <c r="F31" i="48"/>
  <c r="I31" i="48" s="1"/>
  <c r="D32" i="48"/>
  <c r="F32" i="48" s="1"/>
  <c r="G32" i="48" s="1"/>
  <c r="F18" i="48"/>
  <c r="F17" i="48"/>
  <c r="D6" i="48"/>
  <c r="F6" i="48" s="1"/>
  <c r="C1" i="45"/>
  <c r="B1" i="45"/>
  <c r="F34" i="48"/>
  <c r="H34" i="48" s="1"/>
  <c r="F33" i="48"/>
  <c r="F24" i="48"/>
  <c r="G24" i="48" s="1"/>
  <c r="F23" i="48"/>
  <c r="I23" i="48" s="1"/>
  <c r="F22" i="48"/>
  <c r="G22" i="48" s="1"/>
  <c r="F21" i="48"/>
  <c r="F20" i="48"/>
  <c r="H20" i="48" s="1"/>
  <c r="G9" i="48" l="1"/>
  <c r="H9" i="48"/>
  <c r="I9" i="48"/>
  <c r="J9" i="48"/>
  <c r="H30" i="48"/>
  <c r="H11" i="48"/>
  <c r="G7" i="48"/>
  <c r="H7" i="48"/>
  <c r="I7" i="48"/>
  <c r="J7" i="48"/>
  <c r="I8" i="48"/>
  <c r="H8" i="48"/>
  <c r="G8" i="48"/>
  <c r="J8" i="48"/>
  <c r="K10" i="48"/>
  <c r="J10" i="48"/>
  <c r="H10" i="48"/>
  <c r="I10" i="48"/>
  <c r="G10" i="48"/>
  <c r="J30" i="48"/>
  <c r="J29" i="48"/>
  <c r="G11" i="48"/>
  <c r="J11" i="48"/>
  <c r="J12" i="48"/>
  <c r="J13" i="48"/>
  <c r="J26" i="48"/>
  <c r="J25" i="48" s="1"/>
  <c r="E5" i="45" s="1"/>
  <c r="J33" i="48"/>
  <c r="J21" i="48"/>
  <c r="K3" i="48"/>
  <c r="J14" i="48"/>
  <c r="J15" i="48"/>
  <c r="K26" i="48"/>
  <c r="K25" i="48" s="1"/>
  <c r="J2" i="48"/>
  <c r="T15" i="64"/>
  <c r="D1" i="45"/>
  <c r="K14" i="48"/>
  <c r="F5" i="48"/>
  <c r="I33" i="48"/>
  <c r="J24" i="48"/>
  <c r="J20" i="48"/>
  <c r="H33" i="48"/>
  <c r="H21" i="48"/>
  <c r="J34" i="48"/>
  <c r="J28" i="48"/>
  <c r="J22" i="48"/>
  <c r="J32" i="48"/>
  <c r="I22" i="48"/>
  <c r="G31" i="48"/>
  <c r="G23" i="48"/>
  <c r="I32" i="48"/>
  <c r="I24" i="48"/>
  <c r="I20" i="48"/>
  <c r="G33" i="48"/>
  <c r="G25" i="48"/>
  <c r="B5" i="45" s="1"/>
  <c r="G21" i="48"/>
  <c r="G20" i="48"/>
  <c r="I34" i="48"/>
  <c r="H23" i="48"/>
  <c r="H28" i="48"/>
  <c r="H22" i="48"/>
  <c r="J31" i="48"/>
  <c r="J23" i="48"/>
  <c r="H32" i="48"/>
  <c r="H24" i="48"/>
  <c r="H31" i="48"/>
  <c r="I21" i="48"/>
  <c r="G34" i="48"/>
  <c r="G28" i="48"/>
  <c r="H25" i="48"/>
  <c r="C5" i="45" s="1"/>
  <c r="I17" i="48"/>
  <c r="J17" i="48"/>
  <c r="H17" i="48"/>
  <c r="G17" i="48"/>
  <c r="G6" i="48"/>
  <c r="I6" i="48"/>
  <c r="H6" i="48"/>
  <c r="J6" i="48"/>
  <c r="G18" i="48"/>
  <c r="H18" i="48"/>
  <c r="J18" i="48"/>
  <c r="I18" i="48"/>
  <c r="F25" i="48"/>
  <c r="I25" i="48"/>
  <c r="D5" i="45" s="1"/>
  <c r="F27" i="48"/>
  <c r="F19" i="48"/>
  <c r="F16" i="48"/>
  <c r="K29" i="48" l="1"/>
  <c r="K9" i="48"/>
  <c r="K7" i="48"/>
  <c r="K8" i="48"/>
  <c r="K23" i="48"/>
  <c r="K30" i="48"/>
  <c r="K11" i="48"/>
  <c r="K21" i="48"/>
  <c r="K24" i="48"/>
  <c r="K18" i="48"/>
  <c r="K33" i="48"/>
  <c r="K20" i="48"/>
  <c r="K22" i="48"/>
  <c r="K28" i="48"/>
  <c r="K34" i="48"/>
  <c r="K15" i="48"/>
  <c r="K12" i="48"/>
  <c r="K13" i="48"/>
  <c r="K31" i="48"/>
  <c r="K32" i="48"/>
  <c r="K6" i="48"/>
  <c r="K17" i="48"/>
  <c r="E1" i="45"/>
  <c r="U15" i="64"/>
  <c r="V15" i="64"/>
  <c r="F5" i="45"/>
  <c r="J5" i="48"/>
  <c r="E3" i="45" s="1"/>
  <c r="H5" i="48"/>
  <c r="C3" i="45" s="1"/>
  <c r="G5" i="48"/>
  <c r="B3" i="45" s="1"/>
  <c r="I5" i="48"/>
  <c r="D3" i="45" s="1"/>
  <c r="J19" i="48"/>
  <c r="I19" i="48"/>
  <c r="H16" i="48"/>
  <c r="C4" i="45" s="1"/>
  <c r="H19" i="48"/>
  <c r="I16" i="48"/>
  <c r="D4" i="45" s="1"/>
  <c r="H27" i="48"/>
  <c r="C6" i="45" s="1"/>
  <c r="J27" i="48"/>
  <c r="E6" i="45" s="1"/>
  <c r="I27" i="48"/>
  <c r="D6" i="45" s="1"/>
  <c r="G16" i="48"/>
  <c r="B4" i="45" s="1"/>
  <c r="J16" i="48"/>
  <c r="E4" i="45" s="1"/>
  <c r="G19" i="48"/>
  <c r="G27" i="48"/>
  <c r="B6" i="45" s="1"/>
  <c r="F35" i="48"/>
  <c r="C37" i="48" s="1"/>
  <c r="K19" i="48" l="1"/>
  <c r="K16" i="48"/>
  <c r="K27" i="48"/>
  <c r="K5" i="48"/>
  <c r="F6" i="45"/>
  <c r="F4" i="45"/>
  <c r="F3" i="45"/>
  <c r="H35" i="48"/>
  <c r="I35" i="48"/>
  <c r="J35" i="48"/>
  <c r="F37" i="48"/>
  <c r="G35" i="48"/>
  <c r="K35" i="48" l="1"/>
  <c r="K37" i="48"/>
  <c r="K36" i="48" s="1"/>
  <c r="K38" i="48" s="1"/>
  <c r="K4" i="48" s="1"/>
  <c r="G37" i="48"/>
  <c r="G36" i="48" s="1"/>
  <c r="J37" i="48"/>
  <c r="J36" i="48" s="1"/>
  <c r="H37" i="48"/>
  <c r="H36" i="48" s="1"/>
  <c r="I37" i="48"/>
  <c r="I36" i="48" s="1"/>
  <c r="F36" i="48"/>
  <c r="F38" i="48" s="1"/>
  <c r="F4" i="48" s="1"/>
  <c r="V25" i="16"/>
  <c r="N15" i="64" l="1"/>
  <c r="N6" i="64"/>
  <c r="O6" i="64" s="1"/>
  <c r="N3" i="64"/>
  <c r="O3" i="64" s="1"/>
  <c r="N5" i="64"/>
  <c r="O5" i="64" s="1"/>
  <c r="N4" i="64"/>
  <c r="O4" i="64" s="1"/>
  <c r="N7" i="64"/>
  <c r="O7" i="64" s="1"/>
  <c r="N13" i="64"/>
  <c r="O13" i="64" s="1"/>
  <c r="N8" i="64"/>
  <c r="O8" i="64" s="1"/>
  <c r="N9" i="64"/>
  <c r="O9" i="64" s="1"/>
  <c r="N12" i="64"/>
  <c r="O12" i="64" s="1"/>
  <c r="N2" i="64"/>
  <c r="O2" i="64" s="1"/>
  <c r="N11" i="64"/>
  <c r="O11" i="64" s="1"/>
  <c r="N14" i="64"/>
  <c r="O14" i="64" s="1"/>
  <c r="N10" i="64"/>
  <c r="O10" i="64" s="1"/>
  <c r="G38" i="48"/>
  <c r="G4" i="48" s="1"/>
  <c r="B7" i="45"/>
  <c r="J38" i="48"/>
  <c r="J4" i="48" s="1"/>
  <c r="E7" i="45"/>
  <c r="E2" i="45" s="1"/>
  <c r="E8" i="45" s="1"/>
  <c r="I38" i="48"/>
  <c r="I4" i="48" s="1"/>
  <c r="D7" i="45"/>
  <c r="D2" i="45" s="1"/>
  <c r="D8" i="45" s="1"/>
  <c r="H38" i="48"/>
  <c r="H4" i="48" s="1"/>
  <c r="C7" i="45"/>
  <c r="C2" i="45" s="1"/>
  <c r="C8" i="45" s="1"/>
  <c r="G31" i="16"/>
  <c r="F31" i="16"/>
  <c r="F25" i="16"/>
  <c r="G30" i="16"/>
  <c r="F30" i="16"/>
  <c r="G28" i="16"/>
  <c r="T41" i="16"/>
  <c r="I41" i="16"/>
  <c r="G35" i="16"/>
  <c r="H35" i="16"/>
  <c r="F35" i="16"/>
  <c r="G29" i="16"/>
  <c r="F29" i="16"/>
  <c r="G24" i="16"/>
  <c r="H24" i="16"/>
  <c r="F24" i="16"/>
  <c r="H20" i="16"/>
  <c r="G20" i="16"/>
  <c r="I20" i="16"/>
  <c r="F19" i="16"/>
  <c r="H22" i="16"/>
  <c r="G22" i="16"/>
  <c r="F22" i="16"/>
  <c r="I22" i="16" s="1"/>
  <c r="H21" i="16"/>
  <c r="G21" i="16"/>
  <c r="F21" i="16"/>
  <c r="G19" i="16"/>
  <c r="H19" i="16"/>
  <c r="G17" i="16"/>
  <c r="G16" i="16"/>
  <c r="G15" i="16"/>
  <c r="H17" i="16"/>
  <c r="H16" i="16"/>
  <c r="H15" i="16"/>
  <c r="F17" i="16"/>
  <c r="F16" i="16"/>
  <c r="F15" i="16"/>
  <c r="H25" i="16"/>
  <c r="H12" i="16"/>
  <c r="G12" i="16"/>
  <c r="H11" i="16"/>
  <c r="G11" i="16"/>
  <c r="F11" i="16"/>
  <c r="H10" i="16"/>
  <c r="G10" i="16"/>
  <c r="F10" i="16"/>
  <c r="H9" i="16"/>
  <c r="G9" i="16"/>
  <c r="F9" i="16"/>
  <c r="H7" i="16"/>
  <c r="G7" i="16"/>
  <c r="F7" i="16"/>
  <c r="G6" i="16"/>
  <c r="H6" i="16"/>
  <c r="G5" i="16"/>
  <c r="F5" i="16"/>
  <c r="H5" i="16"/>
  <c r="G8" i="16"/>
  <c r="H8" i="16"/>
  <c r="F37" i="16"/>
  <c r="G37" i="16"/>
  <c r="H37" i="16"/>
  <c r="I38" i="16"/>
  <c r="O38" i="16"/>
  <c r="P38" i="16" s="1"/>
  <c r="Q38" i="16"/>
  <c r="R38" i="16"/>
  <c r="I39" i="16"/>
  <c r="O39" i="16"/>
  <c r="P39" i="16" s="1"/>
  <c r="Q39" i="16"/>
  <c r="R39" i="16"/>
  <c r="F40" i="16"/>
  <c r="G40" i="16"/>
  <c r="H40" i="16"/>
  <c r="O40" i="16"/>
  <c r="P40" i="16" s="1"/>
  <c r="Q40" i="16"/>
  <c r="R40" i="16"/>
  <c r="I42" i="16"/>
  <c r="I43" i="16"/>
  <c r="I44" i="16"/>
  <c r="S14" i="64" l="1"/>
  <c r="T14" i="64"/>
  <c r="V14" i="64"/>
  <c r="U14" i="64"/>
  <c r="S7" i="64"/>
  <c r="T7" i="64"/>
  <c r="V7" i="64"/>
  <c r="U7" i="64"/>
  <c r="S4" i="64"/>
  <c r="T4" i="64"/>
  <c r="U4" i="64"/>
  <c r="V4" i="64"/>
  <c r="S10" i="64"/>
  <c r="T10" i="64"/>
  <c r="V10" i="64"/>
  <c r="U10" i="64"/>
  <c r="S5" i="64"/>
  <c r="T5" i="64"/>
  <c r="U5" i="64"/>
  <c r="V5" i="64"/>
  <c r="S11" i="64"/>
  <c r="T11" i="64"/>
  <c r="V11" i="64"/>
  <c r="U11" i="64"/>
  <c r="S8" i="64"/>
  <c r="T8" i="64"/>
  <c r="U8" i="64"/>
  <c r="V8" i="64"/>
  <c r="S3" i="64"/>
  <c r="T3" i="64"/>
  <c r="U3" i="64"/>
  <c r="V3" i="64"/>
  <c r="S2" i="64"/>
  <c r="T2" i="64"/>
  <c r="V2" i="64"/>
  <c r="U2" i="64"/>
  <c r="S9" i="64"/>
  <c r="T9" i="64"/>
  <c r="V9" i="64"/>
  <c r="U9" i="64"/>
  <c r="S6" i="64"/>
  <c r="T6" i="64"/>
  <c r="V6" i="64"/>
  <c r="U6" i="64"/>
  <c r="S12" i="64"/>
  <c r="T12" i="64"/>
  <c r="V12" i="64"/>
  <c r="U12" i="64"/>
  <c r="V13" i="64"/>
  <c r="S13" i="64"/>
  <c r="T13" i="64"/>
  <c r="U13" i="64"/>
  <c r="F7" i="45"/>
  <c r="F2" i="45" s="1"/>
  <c r="I21" i="16"/>
  <c r="O41" i="16"/>
  <c r="F4" i="16"/>
  <c r="F3" i="16" s="1"/>
  <c r="G4" i="16"/>
  <c r="G3" i="16" s="1"/>
  <c r="H4" i="16"/>
  <c r="H3" i="16" s="1"/>
  <c r="I37" i="16"/>
  <c r="I12" i="16"/>
  <c r="G25" i="16"/>
  <c r="I25" i="16" s="1"/>
  <c r="I8" i="16"/>
  <c r="R41" i="16"/>
  <c r="H36" i="16"/>
  <c r="I40" i="16"/>
  <c r="P41" i="16"/>
  <c r="G36" i="16"/>
  <c r="Q41" i="16"/>
  <c r="F36" i="16"/>
  <c r="H33" i="16"/>
  <c r="G33" i="16"/>
  <c r="F33" i="16"/>
  <c r="H27" i="16"/>
  <c r="G27" i="16"/>
  <c r="F27" i="16"/>
  <c r="H23" i="16"/>
  <c r="F23" i="16"/>
  <c r="H18" i="16"/>
  <c r="G18" i="16"/>
  <c r="F18" i="16"/>
  <c r="H14" i="16"/>
  <c r="G14" i="16"/>
  <c r="F14" i="16"/>
  <c r="I5" i="16"/>
  <c r="I6" i="16"/>
  <c r="I7" i="16"/>
  <c r="I9" i="16"/>
  <c r="I10" i="16"/>
  <c r="I11" i="16"/>
  <c r="I15" i="16"/>
  <c r="I16" i="16"/>
  <c r="I17" i="16"/>
  <c r="I19" i="16"/>
  <c r="I24" i="16"/>
  <c r="I28" i="16"/>
  <c r="I29" i="16"/>
  <c r="I30" i="16"/>
  <c r="I31" i="16"/>
  <c r="I32" i="16"/>
  <c r="I34" i="16"/>
  <c r="I35" i="16"/>
  <c r="W10" i="64" l="1"/>
  <c r="X10" i="64" s="1"/>
  <c r="W11" i="64"/>
  <c r="X11" i="64" s="1"/>
  <c r="W6" i="64"/>
  <c r="X6" i="64" s="1"/>
  <c r="W4" i="64"/>
  <c r="X4" i="64" s="1"/>
  <c r="W5" i="64"/>
  <c r="X5" i="64" s="1"/>
  <c r="W9" i="64"/>
  <c r="X9" i="64" s="1"/>
  <c r="W3" i="64"/>
  <c r="X3" i="64" s="1"/>
  <c r="W7" i="64"/>
  <c r="X7" i="64" s="1"/>
  <c r="W12" i="64"/>
  <c r="X12" i="64" s="1"/>
  <c r="W2" i="64"/>
  <c r="X2" i="64" s="1"/>
  <c r="W13" i="64"/>
  <c r="X13" i="64" s="1"/>
  <c r="W8" i="64"/>
  <c r="X8" i="64" s="1"/>
  <c r="W14" i="64"/>
  <c r="X14" i="64" s="1"/>
  <c r="G26" i="16"/>
  <c r="H26" i="16"/>
  <c r="F26" i="16"/>
  <c r="I26" i="16" s="1"/>
  <c r="I4" i="16"/>
  <c r="I3" i="16" s="1"/>
  <c r="G23" i="16"/>
  <c r="I23" i="16" s="1"/>
  <c r="I36" i="16"/>
  <c r="I33" i="16"/>
  <c r="F13" i="16"/>
  <c r="F47" i="16" s="1"/>
  <c r="I14" i="16"/>
  <c r="H13" i="16"/>
  <c r="I27" i="16"/>
  <c r="I18" i="16"/>
  <c r="G13" i="16" l="1"/>
  <c r="I13" i="16" s="1"/>
  <c r="G47" i="16"/>
  <c r="G46" i="16" s="1"/>
  <c r="G45" i="16" s="1"/>
  <c r="G48" i="16" s="1"/>
  <c r="H47" i="16"/>
  <c r="H46" i="16" s="1"/>
  <c r="H45" i="16" s="1"/>
  <c r="H48" i="16" s="1"/>
  <c r="G2" i="16" l="1"/>
  <c r="H2" i="16"/>
  <c r="I47" i="16"/>
  <c r="C47" i="16" s="1"/>
  <c r="F46" i="16"/>
  <c r="I46" i="16" l="1"/>
  <c r="F45" i="16"/>
  <c r="F2" i="16" s="1"/>
  <c r="F48" i="16" l="1"/>
  <c r="I48" i="16" s="1"/>
  <c r="I45" i="16"/>
  <c r="I2" i="16" s="1"/>
  <c r="B2" i="45" l="1"/>
  <c r="B8" i="45" s="1"/>
  <c r="F8" i="45" l="1"/>
</calcChain>
</file>

<file path=xl/sharedStrings.xml><?xml version="1.0" encoding="utf-8"?>
<sst xmlns="http://schemas.openxmlformats.org/spreadsheetml/2006/main" count="309" uniqueCount="217">
  <si>
    <t>Meses</t>
  </si>
  <si>
    <t>Quant.</t>
  </si>
  <si>
    <t>Item</t>
  </si>
  <si>
    <t>1.1</t>
  </si>
  <si>
    <t>2.2</t>
  </si>
  <si>
    <t>2.1</t>
  </si>
  <si>
    <t>2.3</t>
  </si>
  <si>
    <t>3.1</t>
  </si>
  <si>
    <t>3.2</t>
  </si>
  <si>
    <t>Total</t>
  </si>
  <si>
    <t>Valor Unitário</t>
  </si>
  <si>
    <t>Despesas de Deslocamento</t>
  </si>
  <si>
    <t>Diárias</t>
  </si>
  <si>
    <t>Passagens e despesas de transporte</t>
  </si>
  <si>
    <t>Valor Mensal</t>
  </si>
  <si>
    <t>Bilhetes Rodoviários (Ida e volta)</t>
  </si>
  <si>
    <t>Softwares para desenvolvimento gráfico</t>
  </si>
  <si>
    <t>Passagens Aéreas Nacionais (Ida e volta)</t>
  </si>
  <si>
    <t>Aquisição de Computador (Conf. Data Science)</t>
  </si>
  <si>
    <t>Aquisição de Computador (Conf. Gráfico)</t>
  </si>
  <si>
    <t>Despesas Operacionais e Administrativas do Projeto</t>
  </si>
  <si>
    <t>Bolsistas de Inovação e Tecnologia (Bit) - Mestrado (Integral)</t>
  </si>
  <si>
    <t>Bolsistas de Inovação e Tecnologia (Bit) - Graduação (20 h)</t>
  </si>
  <si>
    <t>Bolsa Pesquisador Cientista de Dados (12 h)</t>
  </si>
  <si>
    <t>Bolsa Pesquisador em Comunicação e Infografia (12 h)</t>
  </si>
  <si>
    <t>Bolsa Pesquisador Coordenador-Geral (16 h)</t>
  </si>
  <si>
    <t>Licença de Banco de Imagens (Shuterstock)</t>
  </si>
  <si>
    <t>Equipamentos de TI</t>
  </si>
  <si>
    <t>Transporte por aplicativo (Ida e volta)</t>
  </si>
  <si>
    <t>Banco de dados SQL da Azure: Descrição: SQL inteligente gerenciado na nuvem, capacidade sob demanda, nas seguintes configurações: 64GB de armazenamento mínimo, 1 instância com 720 horas, Tipo: Instância gerenciada 8 vCore, Geração Gen 4. Serviço Power BI Pro: Infraestrutura do Power BI. 50 usuários mensais (produtores de conteúdos e consumidores de painéis privados), Principais Características, 1 Gb de Armazenamento para conjunto de dados individual, 10 GB de Armazenamento, 08 atualizações diárias. Conta de armazenamento da Azure, Descrição: Armazenamento em nuvem durável, de alta disponibilidade e altamente escalável. Capacidade sob demanda, configurações sugeridas: Operações de Gravação: 100.000, Operações de leitura: 100.000, Recuperação de dados: 1.000 GB/Mês, Gravação de dados: 1.000 GB/Mês. Máquina virtual para análise de dados. Descrição: Máquina virtual Ubuntu. Capacidade sob demanda, configurações sugeridas: SSD Standard, 128GB, 32GB de RAM, 8 vCPUs.</t>
  </si>
  <si>
    <t>Espaço físico, Móveis e Material Permanente</t>
  </si>
  <si>
    <t>Bolsas de Pesquisa</t>
  </si>
  <si>
    <t>Aluguéis, funcionamento administrativo, insumos, suprimento, manutenção e impostos</t>
  </si>
  <si>
    <t>Aquisição de Computador (Conf. Escritório)</t>
  </si>
  <si>
    <t>Aquisição de Monitores ou Smart TV</t>
  </si>
  <si>
    <t>Infraestrutura de Nuvem e Serviços de Suporte</t>
  </si>
  <si>
    <t>Implantação de Infraestrutura</t>
  </si>
  <si>
    <t>Artefatos de Tecnologia da Informação e Comunicação</t>
  </si>
  <si>
    <t>Aquisição de móveis, equipamentos e material permanente</t>
  </si>
  <si>
    <t>Aquisição de Notebooks (Conf. Escritório)</t>
  </si>
  <si>
    <t>Quantidade</t>
  </si>
  <si>
    <t>Diárias Nacionais</t>
  </si>
  <si>
    <t>Diárias Internacionais</t>
  </si>
  <si>
    <t>Passagens Aéreas Internacionais (Ida e volta)</t>
  </si>
  <si>
    <t>Bolsa Pesquisador Cientista Chefe (24 h)</t>
  </si>
  <si>
    <t>Vigens por mês</t>
  </si>
  <si>
    <t>Passageiros</t>
  </si>
  <si>
    <t>Valor Diárias</t>
  </si>
  <si>
    <t>Valor Passagens</t>
  </si>
  <si>
    <t>Descrição</t>
  </si>
  <si>
    <t>Diárias/viagem</t>
  </si>
  <si>
    <t>1 Desembolso</t>
  </si>
  <si>
    <t>2 Desembolso</t>
  </si>
  <si>
    <t>3 Desembolso</t>
  </si>
  <si>
    <t>Passagens</t>
  </si>
  <si>
    <t>Bolsas de Pesquisadores e Estudantes</t>
  </si>
  <si>
    <t>Licença Adobe Creative Cloud</t>
  </si>
  <si>
    <t>Licença Corel Drawn</t>
  </si>
  <si>
    <t>Licença ArcGIS Maps para Power BI</t>
  </si>
  <si>
    <t>Licenças de Visuals para Power BI</t>
  </si>
  <si>
    <t>Licenças de Softwares e Aplicativos</t>
  </si>
  <si>
    <t>Licença Office 365 Business Premium</t>
  </si>
  <si>
    <t>1.1.1</t>
  </si>
  <si>
    <t>2.2.2</t>
  </si>
  <si>
    <t>1.1.2</t>
  </si>
  <si>
    <t>1.1.3</t>
  </si>
  <si>
    <t>1.1.4</t>
  </si>
  <si>
    <t>1.1.5</t>
  </si>
  <si>
    <t>1.1.6</t>
  </si>
  <si>
    <t>1.1.7</t>
  </si>
  <si>
    <t>1.1.8</t>
  </si>
  <si>
    <t>2.1.1</t>
  </si>
  <si>
    <t>2.1.2</t>
  </si>
  <si>
    <t>2.1.3</t>
  </si>
  <si>
    <t>2.2.1</t>
  </si>
  <si>
    <t>2.2.3</t>
  </si>
  <si>
    <t>2.2.4</t>
  </si>
  <si>
    <t>2.3.1</t>
  </si>
  <si>
    <t>2.3.2</t>
  </si>
  <si>
    <t>3.1.1</t>
  </si>
  <si>
    <t>3.2.1</t>
  </si>
  <si>
    <t>4.1</t>
  </si>
  <si>
    <t>4.1.1</t>
  </si>
  <si>
    <t>4.2</t>
  </si>
  <si>
    <t>4.2.1</t>
  </si>
  <si>
    <t>5.1</t>
  </si>
  <si>
    <t>5.1.1</t>
  </si>
  <si>
    <t>3.1.2</t>
  </si>
  <si>
    <t>3.1.3</t>
  </si>
  <si>
    <t>3.1.4</t>
  </si>
  <si>
    <t>3.1.5</t>
  </si>
  <si>
    <t>3.2.2</t>
  </si>
  <si>
    <t>4.1.2</t>
  </si>
  <si>
    <t>4.2.2</t>
  </si>
  <si>
    <t>4.2.3</t>
  </si>
  <si>
    <t>4.2.4</t>
  </si>
  <si>
    <t>Custos Operacionais e Administrativas da Fundação de Apoio, taxa de administração 8,00%</t>
  </si>
  <si>
    <r>
      <t xml:space="preserve">Serviços técnicos especializados de desenvolvimento e manutenção de aplicações de Ciência de Dados e Business Intelligence (BI). Desenvolvimento de plano no escopo dos panoramas propostos neste projeto utilizando práticas ágeis de gestão; Acompanhamento do projeto através do desenvolvimento de relatórios de status; Levantamento de requisitos; documentação das soluções; manutenção da infraestrutura. Suporte técnico ao desenvolvimento de modelos de aprendizagem de máquina para análise preditiva dos </t>
    </r>
    <r>
      <rPr>
        <b/>
        <sz val="10"/>
        <color theme="1"/>
        <rFont val="Square721 Cn BT"/>
        <family val="2"/>
      </rPr>
      <t xml:space="preserve">Indicadores Acadêmicos, Orçamentários e de Gestão de Pessoas </t>
    </r>
    <r>
      <rPr>
        <sz val="10"/>
        <color theme="1"/>
        <rFont val="Square721 Cn BT"/>
        <family val="2"/>
      </rPr>
      <t>da rede federal de educação, conforme panorama analítico dos produtos do projeto.</t>
    </r>
  </si>
  <si>
    <t>Desemb. 01</t>
  </si>
  <si>
    <t>Desemb. 02</t>
  </si>
  <si>
    <t>Desemb. 03</t>
  </si>
  <si>
    <t>Total Geral</t>
  </si>
  <si>
    <t>339039 - Outras Despesas Correntes</t>
  </si>
  <si>
    <t>Bolsa Pesquisador Coordenador-Geral</t>
  </si>
  <si>
    <t>Computador Conf. Data Science</t>
  </si>
  <si>
    <t>Mesa Retangular - 1.600 mm</t>
  </si>
  <si>
    <t>Monitor LED 21" ou superior</t>
  </si>
  <si>
    <t>Cadeira Escritório Ajuste Lombar</t>
  </si>
  <si>
    <t>Custos Operacionais e Administrativas da Fundação de Apoio</t>
  </si>
  <si>
    <t>Desembolso 01</t>
  </si>
  <si>
    <t>Desembolso 02</t>
  </si>
  <si>
    <t>Subtotal</t>
  </si>
  <si>
    <t>Aquisição de Equipamentos</t>
  </si>
  <si>
    <t>Valor Unit.</t>
  </si>
  <si>
    <t>1.2</t>
  </si>
  <si>
    <t>1.4</t>
  </si>
  <si>
    <t>1.6</t>
  </si>
  <si>
    <t>1.7</t>
  </si>
  <si>
    <t>1.8</t>
  </si>
  <si>
    <t>3.5</t>
  </si>
  <si>
    <t>3.6</t>
  </si>
  <si>
    <t>3.9</t>
  </si>
  <si>
    <t>3.10</t>
  </si>
  <si>
    <t>1.3</t>
  </si>
  <si>
    <t>Serviços de terceiros pessoa jurídica</t>
  </si>
  <si>
    <t>Serviços técnicos especializados</t>
  </si>
  <si>
    <t>Nobreak 600VA/300W Bivolt</t>
  </si>
  <si>
    <t>Desembolso 03</t>
  </si>
  <si>
    <t>Desembolso 04</t>
  </si>
  <si>
    <t>Desembolso Total</t>
  </si>
  <si>
    <t>Celebração de TED</t>
  </si>
  <si>
    <t>Início:</t>
  </si>
  <si>
    <t>Final:</t>
  </si>
  <si>
    <t>Contratação de créditos para serviços em nuvem</t>
  </si>
  <si>
    <t>Valor Total</t>
  </si>
  <si>
    <t>Produtos</t>
  </si>
  <si>
    <t>Fluxos de Dados</t>
  </si>
  <si>
    <t>Domínios Estruturados</t>
  </si>
  <si>
    <t>% Esforço</t>
  </si>
  <si>
    <t>Eventos</t>
  </si>
  <si>
    <t>Soma</t>
  </si>
  <si>
    <t>Esforço</t>
  </si>
  <si>
    <t>Tempo</t>
  </si>
  <si>
    <t>Dificuldade</t>
  </si>
  <si>
    <t>Número de dias</t>
  </si>
  <si>
    <t>Coluna1</t>
  </si>
  <si>
    <t>Unid.</t>
  </si>
  <si>
    <t>V. Unit.</t>
  </si>
  <si>
    <t>Início</t>
  </si>
  <si>
    <t>Encerramento</t>
  </si>
  <si>
    <t>Criação do repositório das bases de dados dos programas da política de transporte escolar</t>
  </si>
  <si>
    <t>Rede Nacional de Capacitação</t>
  </si>
  <si>
    <t>Ciclo de Democratização de Dados</t>
  </si>
  <si>
    <t>Desenvolvimento de Software</t>
  </si>
  <si>
    <t>Estudo Técnico-científico</t>
  </si>
  <si>
    <t>meta_nome</t>
  </si>
  <si>
    <t>meta_cod</t>
  </si>
  <si>
    <t>1.9</t>
  </si>
  <si>
    <t>Serviços de transporte</t>
  </si>
  <si>
    <t>3.</t>
  </si>
  <si>
    <t>Produto</t>
  </si>
  <si>
    <t>Subproduto</t>
  </si>
  <si>
    <t>06 (seis) capacitações técnicas presenciais no período de 2023 a 2027 em 33 (trinta e três) polos, com carga horária de 08 (oito) horas cada, para os agentes envolvidos com a gestão do PDDE e das Ações Integradas, em todos os estados da região nordeste, com ênfase nas escolas com índice de execução e prestação de contas abaixo 8,0</t>
  </si>
  <si>
    <t>08 (oito) Encontros Presenciais para os dirigentes estaduais e municipais de educação, em 11 (onze) polos, distribuídos nos 09 (nove) estados da região nordeste, com carga horária de 08 (oito) horas cada, com uma estimativa de atendimento de 100 (cento) cursistas por Estado/polo, totalizando, em média, 8.800 (oito mil e oitocentos) dirigentes estaduais e municipais de educação atendidos.</t>
  </si>
  <si>
    <t>10 (dez) webinários, com carga horária de 04 (quatro) horas cada, com uma meta de aproximadamente 1.000 (um mil) cursistas certificados em cada webinário.</t>
  </si>
  <si>
    <t>08 (oito) capacitações técnicas presenciais no período de 2023 a 2027, com carga horária de 8 (oito) horas, nos 09 (nove) estados da região nordeste;</t>
  </si>
  <si>
    <t>08 (oito) capacitações técnicas presenciais no período de 2023 e 2027, com carga horária de 8 (oito) horas, com atendimento aproximado de 25 (cinquenta) cursistas, por polo, em cada uma das capacitações</t>
  </si>
  <si>
    <t>meta_Produto</t>
  </si>
  <si>
    <t>4,1 Assistência Técnica</t>
  </si>
  <si>
    <t>meta_Eixo</t>
  </si>
  <si>
    <t>4.1.1 PRODUTO 1: CAPACITAÇÃO TÉCNICA PRESENCIAL</t>
  </si>
  <si>
    <t>4.1.1.1 SUBPRODUTO 1.1: CURSOS DE CAPACITAÇÃO TÉCNICA PRESENCIAL</t>
  </si>
  <si>
    <t>4.1.1 PRODUTO 2: CAPACITAÇÃO TÉCNICA PRESENCIAL</t>
  </si>
  <si>
    <t>4.1.1.2 SUBPRODUTO 1.2: ENCONTROS DE CAPACITAÇÃO TÉCNICA PRESENCIAIS</t>
  </si>
  <si>
    <t>4.1.2 PRODUTO 2: CAPACITAÇÃO TÉCNICA A DISTÂNCIA</t>
  </si>
  <si>
    <t>4.1.2.1 SUBPRODUTO 2.1: WEBINÁRIOS</t>
  </si>
  <si>
    <t>4.1.3 PRODUTO 3: ATENDIMENTO ESPECIALIZADO A ESCOLAS EM TERRITÓRIOS TRADICIONAIS: INDIGENAS E CAMPO/QUILOMBOLAS.</t>
  </si>
  <si>
    <t>4.1.3.1 SUBPRODUTO 3.1 ESCOLAS ÍNDIGENAS</t>
  </si>
  <si>
    <t>4.1.3.2 SUBPRODUTO 3.2 ESCOLAS DO CAMPO/ASSENTAMENTO E QUILOMBOLAS</t>
  </si>
  <si>
    <t>4.1.4 PRODUTO 4: PRODUÇÃO DE MATERIAIS DIDÁTICOS E SISTEMATIZAÇÃO DE BOAS PRÁTICAS</t>
  </si>
  <si>
    <t>a) 01 (um) manual de boas práticas do PDDE e Ações Integradas; b) 01 (um) Manual de Perguntas respostas sobre o PDDE e Ações Integradas com foco na educação escolar indígena; c) 01 (um) Manual de perguntas e respostas sobre o PDDE e Ações Integradas, com foco na educação escolar das comunidades tradicionais; d) 01(um) guia de orientações operacionais do PDDE e Ações Integradas; e) 01 (um) artigo científico ou capítulo de livros sobre a temática do PDDE e das Ações Integradas na região nordeste; f) 03 (três) relatórios técnicos parciais; g) 01 (um) relatório técnico final</t>
  </si>
  <si>
    <t>4.1.5 PRODUTO 5: ASSESSORIA TÉCNICA AOS SISTEMAS DE ENSINO E ÀS ESCOLAS (APOIO À GESTÃO)</t>
  </si>
  <si>
    <t xml:space="preserve">a) Assessoria técnica a aproximadamente 50% das escolas da região nordeste COM e SEM UEX, ou seja, 6.600 escolas, em média, no universo de 12.995, que não receberam recursos do PDDE no ano de 2021; b) 09 (nove) visitas in loco; c) 03 (três) relatórios parciais; d) 01 (um) relatório técnico final. </t>
  </si>
  <si>
    <t>4.2 EIXO 2: MONITORAMENTO DA CAPACITAÇÃO</t>
  </si>
  <si>
    <t>4.2.1 PRODUTO 1: RELATÓRIOS DE ACOMPANHAMENTO DO PDDE</t>
  </si>
  <si>
    <t>4.2.1.1 SUBPRODUTO 1.1 RELATÓRIO EVOLUÇÃO DO IDEGES – ADESÃO, EXECUÇÃO E PRESTAÇÃO DE CONTAS NA REGIÃO NORDESTE.</t>
  </si>
  <si>
    <r>
      <t xml:space="preserve">Aplicação de modelos de clusterização para gerar agrupamentos comparáveis de escolas e regiões; Utilização de algoritmos de identificação de anomalias para registros atípicos (inlier, inlier extremo, outlier e extremo outlier) relativamente a medidas de tendência de execução e cobertura do PDDE entre as unidades comparáveis de análise; Desenvolvimento de modelos supervisionados de machine learning para predizer riscos em prestação de contas, adesão e descontinuidade de cobertura do PDDE nas escolas da região Nordeste elegíveis para o Programa, bem como para determinar os fatores explicativos do IdeGES-PDDE. </t>
    </r>
    <r>
      <rPr>
        <b/>
        <sz val="10"/>
        <color theme="8"/>
        <rFont val="Sylfaen"/>
        <family val="1"/>
      </rPr>
      <t>Dois (05) relatórios parciais de execução de atividades (a cada seis meses após o início da atividade) e um (01) relatório final analítico acerca do acompanhamento do PDDE.</t>
    </r>
  </si>
  <si>
    <t>4.2.1.2 SUBPRODUTO 1.2 RELATÓRIO DE EVOLUÇÃO DOS REPASSES DO PDDE NA REGIÃO NORDESTE.</t>
  </si>
  <si>
    <t>4.2.2 PRODUTO 2: REPOSITÓRIO DE OBJETOS DIGITAIS</t>
  </si>
  <si>
    <t>Análise e implantação de produtos de software para a criação de repositórios digitais. Revisão de literatura e Análise de conteúdo para seleção e posterior povoamento do repositório. Três (05) relatórios parciais de execução de atividades (a cada seis meses após o início da atividade) e um (01) manual de uso do repositório de objetos digitais.</t>
  </si>
  <si>
    <t>4.2.3 PRODUTO 3: RELATÓRIOS DE ANÁLISE DAS ESCOLAS EM COMUNIDADES TRADICIONAIS, DO CAMPO E EDUCAÇÃO ESPECIAL</t>
  </si>
  <si>
    <t>Atividades relacionadas: a) planejamento dos indicadores e das bases de dados; b) extração, tratamento e levantamento dos dados; c) análise exploratória dos dados; d) desenvolvimento do banco de dados do projeto; e) seleção dos modelos de mineração de dados e clusterização; d) implementação dos modelos para fins de acompanhamento do programa; f) elaboração do relatório; g) análise e validação pelo FNDE; h) adequação dos ajustes solicitados pelo FNDE.</t>
  </si>
  <si>
    <t>4.2.4 PRODUTO 4: FERRAMENTA DIGITAL PARA GEORREFERENCIAMENTO DA CAPACITAÇÃO CECAMPE NORDESTE</t>
  </si>
  <si>
    <t>Dois (05) relatórios parciais de execução de atividades (a cada seis meses após o início da atividade), uma (01) versão parcial da ferramenta digital (após 6 meses da entrega do último relatório) e uma (01) versão final da ferramenta digital para fins de acesso as informações.</t>
  </si>
  <si>
    <t>4.2.6 PRODUTO 6: AVALIAÇÃO DA QUALIDADE DA CAPACITAÇÃO DA ASSISTÊNCIA TÉCNICA E MONITORAMENTO DOS PROCESSOS DE GESTÃO DO PDDE</t>
  </si>
  <si>
    <t>4.2.6.1 SUBPRODUTO 6.1 DESENVOLVIMENTO DE SISTEMA DE MONITORAMENTO DA GESTÃO DO PPDE (SMGe-PPDE)</t>
  </si>
  <si>
    <t>O desenvolvimento do SMGe envolve quatro etapas: a) Levantamento de requisitos; b) Desenvolvimento de soluções; c) Avaliação e escolha de soluções; d) implementação das soluções. Metas: a) Desenvolvimento do SMGe b) Dois (02) relatórios parciais de execução de atividades (a cada seis meses após o início da atividade). c) Um (01) Manual de utilização do SMGe. d) Produção de Um (01) vídeo sobre o SMGe.</t>
  </si>
  <si>
    <t>4.3.6.2 SUBPRODUTO 6.2. AVALIAÇÃO DA QUALIDADE DA CAPACITAÇÃO DA ASSISTÊNCIA TÉCNICA</t>
  </si>
  <si>
    <t>a) Três (03) relatórios técnicos parciais (a cada seis meses após o início da atividade) contendo a avaliação de todas as atividades formativas desenvolvidas pelo CECAMPE NE; b) Um (01) relatório técnico final.</t>
  </si>
  <si>
    <t>1.10</t>
  </si>
  <si>
    <t>Bolsa Pesquisador Cientista de Dados Pleno</t>
  </si>
  <si>
    <t>Bolsistas Pesquisador Formador dos Polos Territoriais</t>
  </si>
  <si>
    <t>Bolsistas Pesquisador Formador de Articulação Estadual</t>
  </si>
  <si>
    <t>Bolsa Pesquisador Vice-Coordenador</t>
  </si>
  <si>
    <t>1.5</t>
  </si>
  <si>
    <t>4.3</t>
  </si>
  <si>
    <t>4.4</t>
  </si>
  <si>
    <t>4.5</t>
  </si>
  <si>
    <t>4.6</t>
  </si>
  <si>
    <t>4.7</t>
  </si>
  <si>
    <t>Bolsa Pesquisador de Formação e Articulação</t>
  </si>
  <si>
    <t>Bolsistas Pesquisador Cientista de Dados - Mestrado</t>
  </si>
  <si>
    <t>Bolsa Pesquisador Cientista de Dados Sênior</t>
  </si>
  <si>
    <t>Bolsistas Pesquisador Cientista de Dados - Graduação</t>
  </si>
  <si>
    <t>Bolsa Pesquisador Cientista de Dados</t>
  </si>
  <si>
    <t>Auxílio financeiro ao pesquisador</t>
  </si>
  <si>
    <t>Auxílio financeiro ao pesquisador para despesas das atividades de pesquisa nos pólos territoriais, serviços gráficos, aluguéis, auxílio conectividade, manutenção, aquisição de insumos e material de suprimento.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</si>
</sst>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00"/>
    <numFmt numFmtId="165" formatCode="_-* #,##0_-;\-* #,##0_-;_-* &quot;-&quot;??_-;_-@_-"/>
  </numFmts>
  <fonts count="26" x14ac:knownFonts="1">
    <font>
      <sz val="11"/>
      <color theme="1"/>
      <name val="Calibri"/>
      <family val="2"/>
      <scheme val="minor"/>
    </font>
    <font>
      <sz val="11"/>
      <color theme="1"/>
      <name val="Calibri"/>
      <family val="2"/>
      <scheme val="minor"/>
    </font>
    <font>
      <sz val="8"/>
      <name val="Calibri"/>
      <family val="2"/>
      <scheme val="minor"/>
    </font>
    <font>
      <sz val="11"/>
      <color theme="1"/>
      <name val="Square721 Cn BT"/>
      <family val="2"/>
    </font>
    <font>
      <b/>
      <sz val="11"/>
      <color theme="1"/>
      <name val="Square721 Cn BT"/>
      <family val="2"/>
    </font>
    <font>
      <b/>
      <sz val="11"/>
      <color theme="0"/>
      <name val="Square721 Cn BT"/>
      <family val="2"/>
    </font>
    <font>
      <sz val="11"/>
      <color theme="0"/>
      <name val="Square721 Cn BT"/>
      <family val="2"/>
    </font>
    <font>
      <sz val="10"/>
      <color theme="1"/>
      <name val="Square721 Cn BT"/>
      <family val="2"/>
    </font>
    <font>
      <b/>
      <sz val="10"/>
      <color theme="1"/>
      <name val="Square721 Cn BT"/>
      <family val="2"/>
    </font>
    <font>
      <sz val="11"/>
      <color theme="1"/>
      <name val="Sylfaen"/>
      <family val="1"/>
    </font>
    <font>
      <b/>
      <sz val="10"/>
      <color rgb="FFFFFF00"/>
      <name val="Sylfaen"/>
      <family val="1"/>
    </font>
    <font>
      <b/>
      <sz val="10"/>
      <color theme="0"/>
      <name val="Sylfaen"/>
      <family val="1"/>
    </font>
    <font>
      <b/>
      <sz val="10"/>
      <color rgb="FF000000"/>
      <name val="Sylfaen"/>
      <family val="1"/>
    </font>
    <font>
      <sz val="10"/>
      <color theme="1"/>
      <name val="Sylfaen"/>
      <family val="1"/>
    </font>
    <font>
      <sz val="10"/>
      <name val="Sylfaen"/>
      <family val="1"/>
    </font>
    <font>
      <b/>
      <sz val="10"/>
      <name val="Sylfaen"/>
      <family val="1"/>
    </font>
    <font>
      <sz val="10"/>
      <color theme="2" tint="-9.9978637043366805E-2"/>
      <name val="Sylfaen"/>
      <family val="1"/>
    </font>
    <font>
      <b/>
      <sz val="11"/>
      <color rgb="FFFFFFFF"/>
      <name val="Sylfaen"/>
      <family val="1"/>
    </font>
    <font>
      <b/>
      <sz val="11"/>
      <color rgb="FF000000"/>
      <name val="Sylfaen"/>
      <family val="1"/>
    </font>
    <font>
      <sz val="11"/>
      <color rgb="FF000000"/>
      <name val="Sylfaen"/>
      <family val="1"/>
    </font>
    <font>
      <b/>
      <sz val="10"/>
      <color theme="1"/>
      <name val="Sylfaen"/>
      <family val="1"/>
    </font>
    <font>
      <sz val="10"/>
      <color theme="8"/>
      <name val="Sylfaen"/>
      <family val="1"/>
    </font>
    <font>
      <b/>
      <sz val="8"/>
      <color theme="1"/>
      <name val="Sylfaen"/>
      <family val="1"/>
    </font>
    <font>
      <sz val="8"/>
      <color theme="8"/>
      <name val="Sylfaen"/>
      <family val="1"/>
    </font>
    <font>
      <sz val="8"/>
      <color theme="1"/>
      <name val="Sylfaen"/>
      <family val="1"/>
    </font>
    <font>
      <b/>
      <sz val="10"/>
      <color theme="8"/>
      <name val="Sylfaen"/>
      <family val="1"/>
    </font>
  </fonts>
  <fills count="9">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BDD6EE"/>
        <bgColor indexed="64"/>
      </patternFill>
    </fill>
    <fill>
      <patternFill patternType="solid">
        <fgColor rgb="FF7030A0"/>
        <bgColor indexed="64"/>
      </patternFill>
    </fill>
    <fill>
      <patternFill patternType="solid">
        <fgColor theme="3" tint="-0.249977111117893"/>
        <bgColor indexed="64"/>
      </patternFill>
    </fill>
    <fill>
      <patternFill patternType="solid">
        <fgColor theme="4" tint="-0.249977111117893"/>
        <bgColor indexed="64"/>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medium">
        <color rgb="FF9BC2E6"/>
      </bottom>
      <diagonal/>
    </border>
    <border>
      <left/>
      <right/>
      <top style="medium">
        <color rgb="FF9BC2E6"/>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3" fillId="0" borderId="0" xfId="0" applyFont="1"/>
    <xf numFmtId="49"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center" wrapText="1"/>
    </xf>
    <xf numFmtId="43" fontId="5" fillId="2" borderId="1" xfId="1"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horizontal="right" vertical="center" wrapText="1"/>
    </xf>
    <xf numFmtId="43" fontId="5" fillId="2" borderId="1" xfId="1" applyFont="1" applyFill="1" applyBorder="1" applyAlignment="1">
      <alignment horizontal="right" vertical="center" wrapText="1"/>
    </xf>
    <xf numFmtId="49" fontId="4" fillId="3" borderId="1" xfId="0" applyNumberFormat="1" applyFont="1" applyFill="1" applyBorder="1" applyAlignment="1">
      <alignment horizontal="left" vertical="top" wrapText="1"/>
    </xf>
    <xf numFmtId="43" fontId="4" fillId="3" borderId="1" xfId="1" applyFont="1" applyFill="1" applyBorder="1" applyAlignment="1">
      <alignment horizontal="center" vertical="top" wrapText="1"/>
    </xf>
    <xf numFmtId="0" fontId="4" fillId="3" borderId="1" xfId="0" applyFont="1" applyFill="1" applyBorder="1" applyAlignment="1">
      <alignment horizontal="center" vertical="top" wrapText="1"/>
    </xf>
    <xf numFmtId="43" fontId="4" fillId="3" borderId="1" xfId="1" applyFont="1" applyFill="1" applyBorder="1" applyAlignment="1">
      <alignment horizontal="right" vertical="top" wrapText="1"/>
    </xf>
    <xf numFmtId="49" fontId="4" fillId="4" borderId="1" xfId="0" applyNumberFormat="1" applyFont="1" applyFill="1" applyBorder="1" applyAlignment="1">
      <alignment horizontal="left" vertical="top" wrapText="1"/>
    </xf>
    <xf numFmtId="43" fontId="4" fillId="4" borderId="1" xfId="1" applyFont="1" applyFill="1" applyBorder="1" applyAlignment="1">
      <alignment horizontal="center" vertical="top" wrapText="1"/>
    </xf>
    <xf numFmtId="0" fontId="4" fillId="4" borderId="1" xfId="0" applyFont="1" applyFill="1" applyBorder="1" applyAlignment="1">
      <alignment horizontal="center" vertical="top" wrapText="1"/>
    </xf>
    <xf numFmtId="43" fontId="4" fillId="4" borderId="1" xfId="1" applyFont="1" applyFill="1" applyBorder="1" applyAlignment="1">
      <alignment horizontal="right" vertical="top" wrapText="1"/>
    </xf>
    <xf numFmtId="49" fontId="3" fillId="0" borderId="1" xfId="0" applyNumberFormat="1" applyFont="1" applyBorder="1" applyAlignment="1">
      <alignment horizontal="left" vertical="top" wrapText="1"/>
    </xf>
    <xf numFmtId="43" fontId="3" fillId="0" borderId="1" xfId="1" applyFont="1" applyBorder="1" applyAlignment="1">
      <alignment vertical="top"/>
    </xf>
    <xf numFmtId="43" fontId="3" fillId="0" borderId="1" xfId="1" applyFont="1" applyBorder="1" applyAlignment="1">
      <alignment horizontal="right" vertical="top"/>
    </xf>
    <xf numFmtId="0" fontId="3" fillId="0" borderId="1" xfId="0" applyFont="1" applyBorder="1" applyAlignment="1">
      <alignment horizontal="center" vertical="top"/>
    </xf>
    <xf numFmtId="43" fontId="3" fillId="0" borderId="1" xfId="1" applyFont="1" applyBorder="1" applyAlignment="1">
      <alignment horizontal="center" vertical="top"/>
    </xf>
    <xf numFmtId="43" fontId="3" fillId="0" borderId="0" xfId="0" applyNumberFormat="1" applyFont="1"/>
    <xf numFmtId="0" fontId="3" fillId="0" borderId="0" xfId="0" applyFont="1" applyAlignment="1">
      <alignment horizontal="center"/>
    </xf>
    <xf numFmtId="43" fontId="3" fillId="0" borderId="0" xfId="1" applyFont="1"/>
    <xf numFmtId="43" fontId="3" fillId="0" borderId="1" xfId="1" applyFont="1" applyFill="1" applyBorder="1" applyAlignment="1">
      <alignment vertical="top"/>
    </xf>
    <xf numFmtId="43" fontId="3" fillId="0" borderId="1" xfId="1" applyFont="1" applyFill="1" applyBorder="1" applyAlignment="1">
      <alignment horizontal="right" vertical="top"/>
    </xf>
    <xf numFmtId="49" fontId="3" fillId="0" borderId="0" xfId="0" applyNumberFormat="1" applyFont="1" applyAlignment="1">
      <alignment horizontal="left" vertical="top" wrapText="1"/>
    </xf>
    <xf numFmtId="0" fontId="3" fillId="0" borderId="0" xfId="0" applyFont="1" applyAlignment="1">
      <alignment horizontal="left" wrapText="1"/>
    </xf>
    <xf numFmtId="43" fontId="3" fillId="0" borderId="0" xfId="1" applyFont="1" applyAlignment="1">
      <alignment horizontal="right"/>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3" fillId="0" borderId="1" xfId="0" applyFont="1" applyBorder="1" applyAlignment="1">
      <alignment horizontal="left" wrapText="1"/>
    </xf>
    <xf numFmtId="0" fontId="9" fillId="0" borderId="0" xfId="0" applyFont="1"/>
    <xf numFmtId="43" fontId="10" fillId="6" borderId="1" xfId="1" applyFont="1" applyFill="1" applyBorder="1" applyAlignment="1">
      <alignment horizontal="center" vertical="top" wrapText="1"/>
    </xf>
    <xf numFmtId="14" fontId="11" fillId="6" borderId="1" xfId="1"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3" fontId="10" fillId="2" borderId="1" xfId="1"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1" xfId="0" applyFont="1" applyFill="1" applyBorder="1" applyAlignment="1">
      <alignment vertical="top" wrapText="1"/>
    </xf>
    <xf numFmtId="43" fontId="13" fillId="5" borderId="1" xfId="1" applyFont="1" applyFill="1" applyBorder="1" applyAlignment="1">
      <alignment vertical="top" wrapText="1"/>
    </xf>
    <xf numFmtId="0" fontId="13" fillId="5" borderId="1" xfId="0" applyFont="1" applyFill="1" applyBorder="1" applyAlignment="1">
      <alignment vertical="top" wrapText="1"/>
    </xf>
    <xf numFmtId="43" fontId="12" fillId="5" borderId="1" xfId="1" applyFont="1" applyFill="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43" fontId="14" fillId="0" borderId="1" xfId="1" applyFont="1" applyBorder="1" applyAlignment="1">
      <alignment horizontal="center" vertical="top" wrapText="1"/>
    </xf>
    <xf numFmtId="43" fontId="14" fillId="0" borderId="1" xfId="0" applyNumberFormat="1" applyFont="1" applyBorder="1"/>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43" fontId="14" fillId="5" borderId="1" xfId="1" applyFont="1" applyFill="1" applyBorder="1" applyAlignment="1">
      <alignment vertical="top" wrapText="1"/>
    </xf>
    <xf numFmtId="0" fontId="14" fillId="5" borderId="1" xfId="0" applyFont="1" applyFill="1" applyBorder="1" applyAlignment="1">
      <alignment vertical="top" wrapText="1"/>
    </xf>
    <xf numFmtId="43" fontId="15" fillId="5" borderId="1" xfId="1" applyFont="1" applyFill="1" applyBorder="1" applyAlignment="1">
      <alignment horizontal="center" vertical="top"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43" fontId="16" fillId="0" borderId="1" xfId="1" applyFont="1" applyBorder="1" applyAlignment="1">
      <alignment horizontal="center" vertical="top" wrapText="1"/>
    </xf>
    <xf numFmtId="0" fontId="13" fillId="6" borderId="1" xfId="0" applyFont="1" applyFill="1" applyBorder="1" applyAlignment="1">
      <alignment horizontal="center" vertical="top" wrapText="1"/>
    </xf>
    <xf numFmtId="0" fontId="13" fillId="6" borderId="1" xfId="0" applyFont="1" applyFill="1" applyBorder="1" applyAlignment="1">
      <alignment vertical="top" wrapText="1"/>
    </xf>
    <xf numFmtId="43" fontId="13" fillId="6" borderId="1" xfId="1" applyFont="1" applyFill="1" applyBorder="1" applyAlignment="1">
      <alignment vertical="top" wrapText="1"/>
    </xf>
    <xf numFmtId="0" fontId="10" fillId="6" borderId="1" xfId="0" applyFont="1" applyFill="1" applyBorder="1" applyAlignment="1">
      <alignment horizontal="center" vertical="top" wrapText="1"/>
    </xf>
    <xf numFmtId="43" fontId="14" fillId="0" borderId="1" xfId="0" applyNumberFormat="1" applyFont="1" applyBorder="1" applyAlignment="1">
      <alignment horizontal="center"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vertical="top" wrapText="1"/>
    </xf>
    <xf numFmtId="43" fontId="13" fillId="2" borderId="1" xfId="1" applyFont="1" applyFill="1" applyBorder="1" applyAlignment="1">
      <alignment vertical="top" wrapText="1"/>
    </xf>
    <xf numFmtId="0" fontId="11" fillId="7" borderId="1" xfId="0" applyFont="1" applyFill="1" applyBorder="1" applyAlignment="1">
      <alignment horizontal="center" vertical="center"/>
    </xf>
    <xf numFmtId="0" fontId="13" fillId="0" borderId="0" xfId="0" applyFont="1"/>
    <xf numFmtId="44" fontId="11" fillId="8" borderId="1" xfId="2" applyFont="1" applyFill="1" applyBorder="1" applyAlignment="1">
      <alignment horizontal="center" vertical="center"/>
    </xf>
    <xf numFmtId="44" fontId="11" fillId="8" borderId="1" xfId="2" applyFont="1" applyFill="1" applyBorder="1" applyAlignment="1">
      <alignment vertical="center"/>
    </xf>
    <xf numFmtId="165" fontId="11" fillId="8" borderId="1" xfId="2" applyNumberFormat="1" applyFont="1" applyFill="1" applyBorder="1" applyAlignment="1">
      <alignment horizontal="center" vertical="center"/>
    </xf>
    <xf numFmtId="0" fontId="14" fillId="0" borderId="0" xfId="0" applyFont="1"/>
    <xf numFmtId="165" fontId="13" fillId="0" borderId="0" xfId="0" applyNumberFormat="1" applyFont="1"/>
    <xf numFmtId="0" fontId="13" fillId="0" borderId="0" xfId="0" applyFont="1" applyAlignment="1">
      <alignment horizontal="center" vertical="top"/>
    </xf>
    <xf numFmtId="0" fontId="13" fillId="0" borderId="0" xfId="0" applyFont="1" applyAlignment="1">
      <alignment vertical="top"/>
    </xf>
    <xf numFmtId="43" fontId="13" fillId="0" borderId="0" xfId="1" applyFont="1"/>
    <xf numFmtId="0" fontId="17" fillId="2" borderId="4" xfId="0" applyFont="1" applyFill="1" applyBorder="1" applyAlignment="1">
      <alignment horizontal="center" vertical="center"/>
    </xf>
    <xf numFmtId="0" fontId="18" fillId="5" borderId="4" xfId="0" applyFont="1" applyFill="1" applyBorder="1" applyAlignment="1">
      <alignment vertical="center"/>
    </xf>
    <xf numFmtId="4" fontId="18" fillId="5" borderId="4" xfId="0" applyNumberFormat="1" applyFont="1" applyFill="1" applyBorder="1" applyAlignment="1">
      <alignment horizontal="center" vertical="center"/>
    </xf>
    <xf numFmtId="4" fontId="19" fillId="0" borderId="0" xfId="0" applyNumberFormat="1" applyFont="1" applyAlignment="1">
      <alignment horizontal="center" vertical="center"/>
    </xf>
    <xf numFmtId="0" fontId="17" fillId="2" borderId="5" xfId="0" applyFont="1" applyFill="1" applyBorder="1" applyAlignment="1">
      <alignment horizontal="right" vertical="center"/>
    </xf>
    <xf numFmtId="4" fontId="17" fillId="2" borderId="5" xfId="0" applyNumberFormat="1" applyFont="1" applyFill="1" applyBorder="1" applyAlignment="1">
      <alignment horizontal="center" vertical="center"/>
    </xf>
    <xf numFmtId="0" fontId="19" fillId="0" borderId="0" xfId="0" applyFont="1" applyAlignment="1">
      <alignment horizontal="left" vertical="center" wrapText="1" indent="1"/>
    </xf>
    <xf numFmtId="164" fontId="13" fillId="0" borderId="0" xfId="0" applyNumberFormat="1" applyFont="1" applyAlignment="1">
      <alignment horizontal="center" vertical="top"/>
    </xf>
    <xf numFmtId="44" fontId="13" fillId="0" borderId="0" xfId="0" applyNumberFormat="1" applyFont="1" applyAlignment="1">
      <alignment vertical="top"/>
    </xf>
    <xf numFmtId="14" fontId="13" fillId="0" borderId="0" xfId="0" applyNumberFormat="1" applyFont="1" applyAlignment="1">
      <alignment horizontal="center" vertical="top"/>
    </xf>
    <xf numFmtId="1" fontId="13" fillId="0" borderId="0" xfId="0" applyNumberFormat="1" applyFont="1" applyAlignment="1">
      <alignment horizontal="center" vertical="top"/>
    </xf>
    <xf numFmtId="44" fontId="13" fillId="0" borderId="0" xfId="1" applyNumberFormat="1" applyFont="1" applyAlignment="1">
      <alignment horizontal="center" vertical="center"/>
    </xf>
    <xf numFmtId="43" fontId="13" fillId="0" borderId="0" xfId="1" applyFont="1" applyAlignment="1">
      <alignment horizontal="center" vertical="center"/>
    </xf>
    <xf numFmtId="43" fontId="13" fillId="0" borderId="0" xfId="0" applyNumberFormat="1" applyFont="1" applyAlignment="1">
      <alignment vertical="top"/>
    </xf>
    <xf numFmtId="0" fontId="13" fillId="0" borderId="0" xfId="0" applyFont="1" applyAlignment="1">
      <alignment horizontal="center" vertical="center"/>
    </xf>
    <xf numFmtId="43" fontId="13" fillId="0" borderId="0" xfId="1" applyFont="1" applyAlignment="1">
      <alignment vertical="top"/>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43" fontId="10" fillId="2" borderId="1" xfId="1" applyFont="1" applyFill="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horizontal="left" vertical="center"/>
    </xf>
    <xf numFmtId="43" fontId="20" fillId="0" borderId="0" xfId="1" applyFont="1" applyAlignment="1">
      <alignment horizontal="center" vertical="top"/>
    </xf>
    <xf numFmtId="10" fontId="20" fillId="0" borderId="0" xfId="3" applyNumberFormat="1" applyFont="1" applyAlignment="1">
      <alignment horizontal="center" vertical="top"/>
    </xf>
    <xf numFmtId="164" fontId="20" fillId="0" borderId="0" xfId="0" applyNumberFormat="1" applyFont="1" applyAlignment="1">
      <alignment horizontal="center" vertical="top"/>
    </xf>
    <xf numFmtId="0" fontId="13" fillId="0" borderId="0" xfId="0" applyFont="1" applyAlignment="1">
      <alignment horizontal="left" vertical="center"/>
    </xf>
    <xf numFmtId="10" fontId="13" fillId="0" borderId="0" xfId="3" applyNumberFormat="1" applyFont="1" applyAlignment="1">
      <alignment horizontal="center" vertical="top"/>
    </xf>
    <xf numFmtId="43" fontId="13" fillId="0" borderId="0" xfId="1" applyFont="1" applyAlignment="1">
      <alignment horizontal="center" vertical="top"/>
    </xf>
    <xf numFmtId="43" fontId="13" fillId="0" borderId="0" xfId="3" applyNumberFormat="1" applyFont="1" applyAlignment="1">
      <alignment horizontal="center" vertical="top"/>
    </xf>
    <xf numFmtId="0" fontId="20" fillId="0" borderId="0" xfId="0" applyFont="1" applyAlignment="1">
      <alignment horizontal="center" vertical="top" wrapText="1"/>
    </xf>
    <xf numFmtId="0" fontId="21" fillId="0" borderId="0" xfId="0" applyFont="1" applyAlignment="1">
      <alignment horizontal="left" vertical="top" wrapText="1"/>
    </xf>
    <xf numFmtId="0" fontId="13" fillId="0" borderId="0" xfId="0" applyFont="1" applyAlignment="1">
      <alignment horizontal="left" vertical="top" wrapText="1"/>
    </xf>
    <xf numFmtId="43" fontId="14" fillId="0" borderId="1" xfId="0" applyNumberFormat="1" applyFont="1" applyBorder="1" applyAlignment="1">
      <alignment vertical="top"/>
    </xf>
    <xf numFmtId="164" fontId="13" fillId="0" borderId="0" xfId="0" applyNumberFormat="1" applyFont="1" applyAlignment="1">
      <alignment horizontal="center" vertical="top" wrapText="1"/>
    </xf>
    <xf numFmtId="0" fontId="13" fillId="0" borderId="0" xfId="0" applyFont="1" applyAlignment="1">
      <alignment vertical="top" wrapText="1"/>
    </xf>
    <xf numFmtId="0" fontId="22" fillId="0" borderId="0" xfId="0" applyFont="1" applyAlignment="1">
      <alignment horizontal="center" vertical="top" wrapText="1"/>
    </xf>
    <xf numFmtId="0" fontId="23" fillId="0" borderId="0" xfId="0" applyFont="1" applyAlignment="1">
      <alignment horizontal="left" vertical="top" wrapText="1"/>
    </xf>
    <xf numFmtId="0" fontId="24" fillId="0" borderId="0" xfId="0" applyFont="1" applyAlignment="1">
      <alignment vertical="top" wrapText="1"/>
    </xf>
    <xf numFmtId="43" fontId="14" fillId="0" borderId="1" xfId="1" applyFont="1" applyFill="1" applyBorder="1" applyAlignment="1">
      <alignment horizontal="center" vertical="top" wrapText="1"/>
    </xf>
    <xf numFmtId="0" fontId="4" fillId="3" borderId="1" xfId="0" applyFont="1" applyFill="1" applyBorder="1" applyAlignment="1">
      <alignment horizontal="center" vertical="top" wrapText="1"/>
    </xf>
    <xf numFmtId="43" fontId="3" fillId="0" borderId="1" xfId="1" applyFont="1" applyBorder="1" applyAlignment="1">
      <alignment horizontal="center" vertical="top"/>
    </xf>
    <xf numFmtId="0" fontId="4" fillId="4" borderId="1" xfId="0" applyFont="1" applyFill="1" applyBorder="1" applyAlignment="1">
      <alignment horizontal="center" vertical="top" wrapText="1"/>
    </xf>
    <xf numFmtId="43" fontId="3" fillId="0" borderId="1" xfId="1" applyFont="1" applyFill="1" applyBorder="1" applyAlignment="1">
      <alignment horizontal="center" vertical="top"/>
    </xf>
    <xf numFmtId="43" fontId="3" fillId="0" borderId="2" xfId="1" applyFont="1" applyBorder="1" applyAlignment="1">
      <alignment horizontal="center" vertical="top"/>
    </xf>
    <xf numFmtId="43" fontId="3" fillId="0" borderId="3" xfId="1" applyFont="1" applyBorder="1" applyAlignment="1">
      <alignment horizontal="center" vertical="top"/>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cellXfs>
  <cellStyles count="4">
    <cellStyle name="Moeda" xfId="2" builtinId="4"/>
    <cellStyle name="Normal" xfId="0" builtinId="0"/>
    <cellStyle name="Porcentagem" xfId="3" builtinId="5"/>
    <cellStyle name="Vírgula" xfId="1" builtinId="3"/>
  </cellStyles>
  <dxfs count="50">
    <dxf>
      <font>
        <b val="0"/>
        <i val="0"/>
        <strike val="0"/>
        <condense val="0"/>
        <extend val="0"/>
        <outline val="0"/>
        <shadow val="0"/>
        <u val="none"/>
        <vertAlign val="baseline"/>
        <sz val="10"/>
        <color theme="1"/>
        <name val="Sylfaen"/>
        <family val="1"/>
        <scheme val="none"/>
      </font>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4" formatCode="_-&quot;R$&quot;\ * #,##0.00_-;\-&quot;R$&quot;\ * #,##0.00_-;_-&quot;R$&quot;\ * &quot;-&quot;??_-;_-@_-"/>
      <alignment horizontal="general"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5" formatCode="_-* #,##0.00_-;\-* #,##0.00_-;_-* &quot;-&quot;??_-;_-@_-"/>
      <alignment horizontal="general"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5" formatCode="_-* #,##0.00_-;\-* #,##0.00_-;_-* &quot;-&quot;??_-;_-@_-"/>
      <alignment horizontal="general"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numFmt numFmtId="34" formatCode="_-&quot;R$&quot;\ * #,##0.00_-;\-&quot;R$&quot;\ * #,##0.00_-;_-&quot;R$&quot;\ * &quot;-&quot;??_-;_-@_-"/>
      <alignment horizontal="center" vertical="center"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strike val="0"/>
        <outline val="0"/>
        <shadow val="0"/>
        <u val="none"/>
        <vertAlign val="baseline"/>
        <sz val="10"/>
        <color theme="1"/>
        <name val="Sylfaen"/>
        <family val="1"/>
        <scheme val="none"/>
      </font>
      <numFmt numFmtId="1"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strike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strike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center" textRotation="0" wrapText="0" indent="0" justifyLastLine="0" shrinkToFit="0" readingOrder="0"/>
    </dxf>
    <dxf>
      <font>
        <strike val="0"/>
        <outline val="0"/>
        <shadow val="0"/>
        <u val="none"/>
        <vertAlign val="baseline"/>
        <sz val="10"/>
        <color theme="1"/>
        <name val="Sylfaen"/>
        <family val="1"/>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general" vertical="top" textRotation="0" wrapText="0" indent="0" justifyLastLine="0" shrinkToFit="0" readingOrder="0"/>
    </dxf>
    <dxf>
      <font>
        <strike val="0"/>
        <outline val="0"/>
        <shadow val="0"/>
        <u val="none"/>
        <vertAlign val="baseline"/>
        <sz val="10"/>
        <color theme="1"/>
        <name val="Sylfaen"/>
        <family val="1"/>
        <scheme val="none"/>
      </font>
      <alignment horizontal="general"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164" formatCode="00"/>
      <alignment horizontal="center" vertical="top" textRotation="0" wrapText="0" indent="0" justifyLastLine="0" shrinkToFit="0" readingOrder="0"/>
    </dxf>
    <dxf>
      <font>
        <strike val="0"/>
        <outline val="0"/>
        <shadow val="0"/>
        <u val="none"/>
        <vertAlign val="baseline"/>
        <sz val="10"/>
        <color theme="1"/>
        <name val="Sylfaen"/>
        <family val="1"/>
        <scheme val="none"/>
      </font>
      <numFmt numFmtId="164" formatCode="00"/>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1" indent="0" justifyLastLine="0" shrinkToFit="0" readingOrder="0"/>
    </dxf>
    <dxf>
      <font>
        <strike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14" formatCode="0.00%"/>
      <alignment horizontal="center" vertical="top" textRotation="0" wrapText="1" indent="0" justifyLastLine="0" shrinkToFit="0" readingOrder="0"/>
    </dxf>
    <dxf>
      <font>
        <strike val="0"/>
        <outline val="0"/>
        <shadow val="0"/>
        <u val="none"/>
        <vertAlign val="baseline"/>
        <sz val="10"/>
        <color theme="1"/>
        <name val="Sylfaen"/>
        <family val="1"/>
        <scheme val="none"/>
      </font>
      <numFmt numFmtId="35" formatCode="_-* #,##0.00_-;\-* #,##0.00_-;_-* &quot;-&quot;??_-;_-@_-"/>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35" formatCode="_-* #,##0.00_-;\-* #,##0.00_-;_-* &quot;-&quot;??_-;_-@_-"/>
      <alignment horizontal="center"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1" indent="0" justifyLastLine="0" shrinkToFit="0" readingOrder="0"/>
    </dxf>
    <dxf>
      <font>
        <strike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left" vertical="center" textRotation="0" wrapText="1" indent="0" justifyLastLine="0" shrinkToFit="0" readingOrder="0"/>
    </dxf>
    <dxf>
      <font>
        <strike val="0"/>
        <outline val="0"/>
        <shadow val="0"/>
        <u val="none"/>
        <vertAlign val="baseline"/>
        <sz val="10"/>
        <color theme="1"/>
        <name val="Sylfaen"/>
        <family val="1"/>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Sylfaen"/>
        <family val="1"/>
        <scheme val="none"/>
      </font>
      <alignment horizontal="left" vertical="top" textRotation="0" wrapText="1" indent="0" justifyLastLine="0" shrinkToFit="0" readingOrder="0"/>
    </dxf>
    <dxf>
      <font>
        <b val="0"/>
        <i val="0"/>
        <strike val="0"/>
        <condense val="0"/>
        <extend val="0"/>
        <outline val="0"/>
        <shadow val="0"/>
        <u val="none"/>
        <vertAlign val="baseline"/>
        <sz val="10"/>
        <color theme="8"/>
        <name val="Sylfaen"/>
        <family val="1"/>
        <scheme val="none"/>
      </font>
      <alignment horizontal="left" vertical="top" textRotation="0" wrapText="1" indent="0" justifyLastLine="0" shrinkToFit="0" readingOrder="0"/>
    </dxf>
    <dxf>
      <font>
        <b val="0"/>
        <i val="0"/>
        <strike val="0"/>
        <condense val="0"/>
        <extend val="0"/>
        <outline val="0"/>
        <shadow val="0"/>
        <u val="none"/>
        <vertAlign val="baseline"/>
        <sz val="10"/>
        <color theme="8"/>
        <name val="Sylfaen"/>
        <family val="1"/>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left" vertical="top" textRotation="0" wrapText="1" indent="0" justifyLastLine="0" shrinkToFit="0" readingOrder="0"/>
    </dxf>
    <dxf>
      <font>
        <strike val="0"/>
        <outline val="0"/>
        <shadow val="0"/>
        <u val="none"/>
        <vertAlign val="baseline"/>
        <sz val="10"/>
        <color theme="1"/>
        <name val="Sylfaen"/>
        <family val="1"/>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8"/>
        <color theme="8"/>
        <name val="Sylfaen"/>
        <family val="1"/>
        <scheme val="none"/>
      </font>
      <numFmt numFmtId="164" formatCode="00"/>
      <alignment horizontal="left"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Sylfaen"/>
        <family val="1"/>
        <scheme val="none"/>
      </font>
      <numFmt numFmtId="164"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
      <font>
        <strike val="0"/>
        <outline val="0"/>
        <shadow val="0"/>
        <u val="none"/>
        <vertAlign val="baseline"/>
        <sz val="10"/>
        <color theme="1"/>
        <name val="Sylfaen"/>
        <family val="1"/>
        <scheme val="none"/>
      </font>
      <numFmt numFmtId="164" formatCode="00"/>
      <alignment horizontal="center" vertical="top" textRotation="0" wrapText="1" indent="0" justifyLastLine="0" shrinkToFit="0" readingOrder="0"/>
    </dxf>
    <dxf>
      <font>
        <strike val="0"/>
        <outline val="0"/>
        <shadow val="0"/>
        <u val="none"/>
        <vertAlign val="baseline"/>
        <sz val="10"/>
        <color rgb="FF000000"/>
        <name val="Sylfaen"/>
        <family val="1"/>
        <scheme val="none"/>
      </font>
    </dxf>
    <dxf>
      <font>
        <strike val="0"/>
        <outline val="0"/>
        <shadow val="0"/>
        <u val="none"/>
        <vertAlign val="baseline"/>
        <sz val="10"/>
        <color rgb="FF000000"/>
        <name val="Sylfaen"/>
        <family val="1"/>
        <scheme val="none"/>
      </font>
      <alignment horizontal="general" vertical="top" textRotation="0" wrapText="0" indent="0" justifyLastLine="0" shrinkToFit="0" readingOrder="0"/>
    </dxf>
    <dxf>
      <font>
        <b/>
        <i val="0"/>
        <strike val="0"/>
        <condense val="0"/>
        <extend val="0"/>
        <outline val="0"/>
        <shadow val="0"/>
        <u val="none"/>
        <vertAlign val="baseline"/>
        <sz val="10"/>
        <color theme="1"/>
        <name val="Sylfaen"/>
        <family val="1"/>
        <scheme val="none"/>
      </font>
      <alignment horizontal="center" vertical="top" textRotation="0" wrapText="0" indent="0" justifyLastLine="0" shrinkToFit="0" readingOrder="0"/>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F5F509-E818-4332-B74C-2BA054906753}" name="Tabela25" displayName="Tabela25" ref="A1:X14" totalsRowShown="0" headerRowDxfId="49" dataDxfId="48" totalsRowDxfId="47">
  <autoFilter ref="A1:X14" xr:uid="{DBAF3B0E-36AA-46AC-A849-59172ACB1AFB}"/>
  <tableColumns count="24">
    <tableColumn id="1" xr3:uid="{01BA28D6-5CAC-4E71-8453-CE85A0D6DF81}" name="meta_cod" dataDxfId="46" totalsRowDxfId="45"/>
    <tableColumn id="23" xr3:uid="{2B796037-ED46-49BC-9FDB-A5591A54D394}" name="meta_Eixo" dataDxfId="44" totalsRowDxfId="43"/>
    <tableColumn id="24" xr3:uid="{023ADC94-77D2-49F8-93AB-8E3D2332F6DB}" name="meta_Produto" dataDxfId="42" totalsRowDxfId="41"/>
    <tableColumn id="2" xr3:uid="{66D9FCEC-5FC0-4C16-B588-A8133B85F0F8}" name="meta_nome" dataDxfId="40" totalsRowDxfId="39"/>
    <tableColumn id="25" xr3:uid="{F2519684-64DA-4F23-8C97-6C882D33F33D}" name="Subproduto" dataDxfId="38"/>
    <tableColumn id="22" xr3:uid="{E16397EC-795B-4503-9467-06D5DD1A8B33}" name="Produto" dataDxfId="37" totalsRowDxfId="36"/>
    <tableColumn id="17" xr3:uid="{2F78423A-7017-4A78-AF88-4C8C945EBADE}" name="Meses" dataDxfId="35" totalsRowDxfId="34">
      <calculatedColumnFormula>DATEDIF($P2,$Q2,"m")</calculatedColumnFormula>
    </tableColumn>
    <tableColumn id="3" xr3:uid="{2154B661-3984-4B06-9F28-6D2F2D6C5E87}" name="Tempo" dataDxfId="33" totalsRowDxfId="32">
      <calculatedColumnFormula>Tabela25[[#This Row],[Meses]]/SUM(Tabela25[Meses])</calculatedColumnFormula>
    </tableColumn>
    <tableColumn id="19" xr3:uid="{AAC6B25F-E699-4FF9-8745-ADDEE58841E1}" name="Dificuldade" dataDxfId="31" totalsRowDxfId="30" dataCellStyle="Vírgula"/>
    <tableColumn id="20" xr3:uid="{B487105F-50F4-4E2B-8C96-45042A1C8BCE}" name="Esforço" dataDxfId="29" totalsRowDxfId="28" dataCellStyle="Vírgula">
      <calculatedColumnFormula>Tabela25[[#This Row],[Dificuldade]]*Tabela25[[#This Row],[Tempo]]</calculatedColumnFormula>
    </tableColumn>
    <tableColumn id="4" xr3:uid="{08913DCA-953E-4346-AC1B-D9A2EF641A46}" name="% Esforço" dataDxfId="27" totalsRowDxfId="26" dataCellStyle="Porcentagem">
      <calculatedColumnFormula>Tabela25[[#This Row],[Dificuldade]]/SUM(Tabela25[Dificuldade])</calculatedColumnFormula>
    </tableColumn>
    <tableColumn id="5" xr3:uid="{4CC9CF5E-5A9F-4E61-ACFE-C5D432394881}" name="Unid." dataDxfId="25" totalsRowDxfId="24"/>
    <tableColumn id="6" xr3:uid="{3F0ED631-CDEA-4B41-B1B1-E316EF4D601C}" name="Quant." dataDxfId="23" totalsRowDxfId="22"/>
    <tableColumn id="7" xr3:uid="{468CB7A4-BB3A-4AF5-B1D4-12CC02357B4F}" name="V. Unit." dataDxfId="21" totalsRowDxfId="20" dataCellStyle="Vírgula">
      <calculatedColumnFormula>Despesas!$K$4*Tabela25[[#This Row],[% Esforço]]/Tabela25[[#This Row],[Quant.]]</calculatedColumnFormula>
    </tableColumn>
    <tableColumn id="8" xr3:uid="{9A62C0B1-0B4B-4A54-BB52-5CF817E50930}" name="Valor Total" dataDxfId="19" totalsRowDxfId="18" dataCellStyle="Vírgula">
      <calculatedColumnFormula>Tabela25[[#This Row],[V. Unit.]]*Tabela25[[#This Row],[Quant.]]</calculatedColumnFormula>
    </tableColumn>
    <tableColumn id="9" xr3:uid="{64268C85-E94B-47C2-97E4-6D6B8D5397E0}" name="Início" dataDxfId="17" totalsRowDxfId="16"/>
    <tableColumn id="10" xr3:uid="{60AE771B-F510-4719-A109-4A4B52ACEB24}" name="Encerramento" dataDxfId="15" totalsRowDxfId="14"/>
    <tableColumn id="18" xr3:uid="{810F67A2-22C6-4F79-A83C-D6E08B20F6EE}" name="Número de dias" dataDxfId="13" totalsRowDxfId="12">
      <calculatedColumnFormula>Tabela25[[#This Row],[Encerramento]]-Tabela25[[#This Row],[Início]]</calculatedColumnFormula>
    </tableColumn>
    <tableColumn id="12" xr3:uid="{93928202-C2AB-4A41-807D-50B311AC11EC}" name="Desembolso 01" dataDxfId="11" totalsRowDxfId="10" dataCellStyle="Vírgula">
      <calculatedColumnFormula>IF(AND(Tabela25[[#This Row],[Início]]&lt;Despesas!$H$2,Tabela25[[#This Row],[Encerramento]]&gt;Despesas!$G$2),ROUND((MIN(Tabela25[[#This Row],[Encerramento]],Despesas!$H$2-1)-MAX(Tabela25[[#This Row],[Início]],Despesas!$G$2)+1)*Tabela25[[#This Row],[Valor Total]]/Tabela25[[#This Row],[Número de dias]],2),0)</calculatedColumnFormula>
    </tableColumn>
    <tableColumn id="13" xr3:uid="{66D709DA-FB66-4ED6-BA4D-A2C9F151C773}" name="Desembolso 02" dataDxfId="9" totalsRowDxfId="8">
      <calculatedColumnFormula>IF(AND(Tabela25[[#This Row],[Início]]&lt;Despesas!$I$2,Tabela25[[#This Row],[Encerramento]]&gt;Despesas!$H$2),ROUND((MIN(Tabela25[[#This Row],[Encerramento]],Despesas!$I$2-1)-MAX(Tabela25[[#This Row],[Início]],Despesas!$H$2)+1)*Tabela25[[#This Row],[Valor Total]]/Tabela25[[#This Row],[Número de dias]],2),0)</calculatedColumnFormula>
    </tableColumn>
    <tableColumn id="14" xr3:uid="{D82DF2CB-965E-4E60-81C9-D744B02302F0}" name="Desembolso 03" dataDxfId="7" totalsRowDxfId="6" dataCellStyle="Vírgula">
      <calculatedColumnFormula>IF(AND(Tabela25[[#This Row],[Início]]&lt;Despesas!$J$2,Tabela25[[#This Row],[Encerramento]]&gt;Despesas!$I$2),ROUND((MIN(Tabela25[[#This Row],[Encerramento]],Despesas!$J$2-1)-MAX(Tabela25[[#This Row],[Início]],Despesas!$I$2)+1)*Tabela25[[#This Row],[Valor Total]]/Tabela25[[#This Row],[Número de dias]],2),0)</calculatedColumnFormula>
    </tableColumn>
    <tableColumn id="15" xr3:uid="{3E37A4DE-E315-4130-BEE2-B5A6E8269E7C}" name="Desembolso 04" dataDxfId="5" totalsRowDxfId="4" dataCellStyle="Vírgula">
      <calculatedColumnFormula>IF(AND(Tabela25[[#This Row],[Início]]&lt;Despesas!$K$2,Tabela25[[#This Row],[Encerramento]]&gt;Despesas!$J$2),ROUND((MIN(Tabela25[[#This Row],[Encerramento]],Despesas!$K$2-1)-MAX(Tabela25[[#This Row],[Início]],Despesas!$J$2)+1)*Tabela25[[#This Row],[Valor Total]]/Tabela25[[#This Row],[Número de dias]],2),0)</calculatedColumnFormula>
    </tableColumn>
    <tableColumn id="16" xr3:uid="{766A1F20-8340-40E1-829E-0EB35BF5501B}" name="Soma" dataDxfId="3" totalsRowDxfId="2">
      <calculatedColumnFormula>SUM(Tabela25[[#This Row],[Desembolso 01]:[Desembolso 04]])</calculatedColumnFormula>
    </tableColumn>
    <tableColumn id="21" xr3:uid="{F65DEDF1-394B-4606-8F56-8C1F57693A62}" name="Coluna1" dataDxfId="1" totalsRowDxfId="0">
      <calculatedColumnFormula>Tabela25[[#This Row],[Soma]]-Tabela25[[#This Row],[Valor Total]]</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09D7-CB12-4C33-8441-3471D1386D96}">
  <sheetPr>
    <tabColor theme="9" tint="-0.499984740745262"/>
  </sheetPr>
  <dimension ref="A1:M38"/>
  <sheetViews>
    <sheetView tabSelected="1" zoomScale="120" zoomScaleNormal="120" workbookViewId="0">
      <pane xSplit="2" ySplit="3" topLeftCell="C5" activePane="bottomRight" state="frozen"/>
      <selection activeCell="P4" sqref="P4"/>
      <selection pane="topRight" activeCell="P4" sqref="P4"/>
      <selection pane="bottomLeft" activeCell="P4" sqref="P4"/>
      <selection pane="bottomRight" activeCell="B15" sqref="B15"/>
    </sheetView>
  </sheetViews>
  <sheetFormatPr defaultColWidth="9.140625" defaultRowHeight="15" x14ac:dyDescent="0.3"/>
  <cols>
    <col min="1" max="1" width="5.28515625" style="71" bestFit="1" customWidth="1"/>
    <col min="2" max="2" width="54" style="72" bestFit="1" customWidth="1"/>
    <col min="3" max="3" width="12.140625" style="73" bestFit="1" customWidth="1"/>
    <col min="4" max="4" width="11.5703125" style="65" bestFit="1" customWidth="1"/>
    <col min="5" max="5" width="11.140625" style="65" bestFit="1" customWidth="1"/>
    <col min="6" max="6" width="19.140625" style="73" bestFit="1" customWidth="1"/>
    <col min="7" max="10" width="18" style="65" bestFit="1" customWidth="1"/>
    <col min="11" max="11" width="19.140625" style="65" bestFit="1" customWidth="1"/>
    <col min="12" max="16384" width="9.140625" style="65"/>
  </cols>
  <sheetData>
    <row r="1" spans="1:11" x14ac:dyDescent="0.3">
      <c r="A1" s="64"/>
      <c r="B1" s="64"/>
      <c r="C1" s="64"/>
      <c r="D1" s="64"/>
      <c r="E1" s="64"/>
      <c r="F1" s="64"/>
      <c r="G1" s="64" t="s">
        <v>109</v>
      </c>
      <c r="H1" s="64" t="s">
        <v>110</v>
      </c>
      <c r="I1" s="64" t="s">
        <v>127</v>
      </c>
      <c r="J1" s="64" t="s">
        <v>128</v>
      </c>
      <c r="K1" s="64" t="s">
        <v>129</v>
      </c>
    </row>
    <row r="2" spans="1:11" x14ac:dyDescent="0.3">
      <c r="A2" s="35"/>
      <c r="B2" s="35" t="s">
        <v>130</v>
      </c>
      <c r="C2" s="35" t="s">
        <v>131</v>
      </c>
      <c r="D2" s="36">
        <v>45231</v>
      </c>
      <c r="E2" s="35" t="s">
        <v>132</v>
      </c>
      <c r="F2" s="36">
        <v>46691</v>
      </c>
      <c r="G2" s="36">
        <f>D2</f>
        <v>45231</v>
      </c>
      <c r="H2" s="36">
        <f>EDATE(G2,G3)</f>
        <v>45597</v>
      </c>
      <c r="I2" s="36">
        <f t="shared" ref="I2:J2" si="0">EDATE(H2,H3)</f>
        <v>45962</v>
      </c>
      <c r="J2" s="36">
        <f t="shared" si="0"/>
        <v>46327</v>
      </c>
      <c r="K2" s="36">
        <f>F2</f>
        <v>46691</v>
      </c>
    </row>
    <row r="3" spans="1:11" s="88" customFormat="1" x14ac:dyDescent="0.25">
      <c r="A3" s="90" t="s">
        <v>2</v>
      </c>
      <c r="B3" s="90" t="s">
        <v>49</v>
      </c>
      <c r="C3" s="92" t="s">
        <v>113</v>
      </c>
      <c r="D3" s="90" t="s">
        <v>0</v>
      </c>
      <c r="E3" s="90" t="s">
        <v>1</v>
      </c>
      <c r="F3" s="92" t="s">
        <v>9</v>
      </c>
      <c r="G3" s="90">
        <v>12</v>
      </c>
      <c r="H3" s="90">
        <v>12</v>
      </c>
      <c r="I3" s="90">
        <v>12</v>
      </c>
      <c r="J3" s="91">
        <f>D4-SUM(G3:I3)</f>
        <v>12</v>
      </c>
      <c r="K3" s="90">
        <f>SUM(G3:J3)</f>
        <v>48</v>
      </c>
    </row>
    <row r="4" spans="1:11" hidden="1" x14ac:dyDescent="0.3">
      <c r="A4" s="66"/>
      <c r="B4" s="67"/>
      <c r="C4" s="67"/>
      <c r="D4" s="68">
        <f>DATEDIF(D2,F2,"m")+1</f>
        <v>48</v>
      </c>
      <c r="E4" s="67"/>
      <c r="F4" s="67">
        <f>F38</f>
        <v>11877254.1888</v>
      </c>
      <c r="G4" s="67">
        <f>G38</f>
        <v>2969313.5471999999</v>
      </c>
      <c r="H4" s="67">
        <f t="shared" ref="H4:J4" si="1">H38</f>
        <v>2969313.5471999999</v>
      </c>
      <c r="I4" s="67">
        <f t="shared" si="1"/>
        <v>2969313.5471999999</v>
      </c>
      <c r="J4" s="67">
        <f t="shared" si="1"/>
        <v>2969313.5471999999</v>
      </c>
      <c r="K4" s="67">
        <f t="shared" ref="K4" si="2">K38</f>
        <v>11877254.1888</v>
      </c>
    </row>
    <row r="5" spans="1:11" x14ac:dyDescent="0.3">
      <c r="A5" s="39">
        <v>1</v>
      </c>
      <c r="B5" s="40" t="s">
        <v>31</v>
      </c>
      <c r="C5" s="41"/>
      <c r="D5" s="42"/>
      <c r="E5" s="39" t="s">
        <v>111</v>
      </c>
      <c r="F5" s="43">
        <f t="shared" ref="F5:K5" si="3">SUBTOTAL(9,F6:F15)</f>
        <v>8074400</v>
      </c>
      <c r="G5" s="43">
        <f t="shared" si="3"/>
        <v>2018600</v>
      </c>
      <c r="H5" s="43">
        <f t="shared" si="3"/>
        <v>2018600</v>
      </c>
      <c r="I5" s="43">
        <f t="shared" si="3"/>
        <v>2018600</v>
      </c>
      <c r="J5" s="43">
        <f t="shared" si="3"/>
        <v>2018600</v>
      </c>
      <c r="K5" s="43">
        <f t="shared" si="3"/>
        <v>8074400</v>
      </c>
    </row>
    <row r="6" spans="1:11" x14ac:dyDescent="0.3">
      <c r="A6" s="44" t="s">
        <v>3</v>
      </c>
      <c r="B6" s="45" t="s">
        <v>103</v>
      </c>
      <c r="C6" s="46">
        <v>10000</v>
      </c>
      <c r="D6" s="44">
        <f t="shared" ref="D6:D11" si="4">$D$4</f>
        <v>48</v>
      </c>
      <c r="E6" s="44">
        <v>1</v>
      </c>
      <c r="F6" s="46">
        <f>C6*D6*E6</f>
        <v>480000</v>
      </c>
      <c r="G6" s="47">
        <f t="shared" ref="G6:K15" si="5">$F6*(G$3/$D$4)</f>
        <v>120000</v>
      </c>
      <c r="H6" s="47">
        <f t="shared" si="5"/>
        <v>120000</v>
      </c>
      <c r="I6" s="47">
        <f t="shared" si="5"/>
        <v>120000</v>
      </c>
      <c r="J6" s="47">
        <f t="shared" si="5"/>
        <v>120000</v>
      </c>
      <c r="K6" s="47">
        <f t="shared" si="5"/>
        <v>480000</v>
      </c>
    </row>
    <row r="7" spans="1:11" x14ac:dyDescent="0.3">
      <c r="A7" s="44" t="s">
        <v>114</v>
      </c>
      <c r="B7" s="45" t="s">
        <v>203</v>
      </c>
      <c r="C7" s="46">
        <v>5000</v>
      </c>
      <c r="D7" s="44">
        <f t="shared" si="4"/>
        <v>48</v>
      </c>
      <c r="E7" s="44">
        <v>1</v>
      </c>
      <c r="F7" s="46">
        <f>C7*D7*E7</f>
        <v>240000</v>
      </c>
      <c r="G7" s="47">
        <f t="shared" si="5"/>
        <v>60000</v>
      </c>
      <c r="H7" s="47">
        <f t="shared" si="5"/>
        <v>60000</v>
      </c>
      <c r="I7" s="47">
        <f t="shared" si="5"/>
        <v>60000</v>
      </c>
      <c r="J7" s="47">
        <f t="shared" si="5"/>
        <v>60000</v>
      </c>
      <c r="K7" s="47">
        <f t="shared" si="5"/>
        <v>240000</v>
      </c>
    </row>
    <row r="8" spans="1:11" x14ac:dyDescent="0.3">
      <c r="A8" s="44" t="s">
        <v>123</v>
      </c>
      <c r="B8" s="45" t="s">
        <v>212</v>
      </c>
      <c r="C8" s="46">
        <v>7000</v>
      </c>
      <c r="D8" s="44">
        <f t="shared" si="4"/>
        <v>48</v>
      </c>
      <c r="E8" s="44">
        <v>2</v>
      </c>
      <c r="F8" s="46">
        <f t="shared" ref="F8:F10" si="6">C8*D8*E8</f>
        <v>672000</v>
      </c>
      <c r="G8" s="47">
        <f t="shared" si="5"/>
        <v>168000</v>
      </c>
      <c r="H8" s="47">
        <f t="shared" si="5"/>
        <v>168000</v>
      </c>
      <c r="I8" s="47">
        <f t="shared" si="5"/>
        <v>168000</v>
      </c>
      <c r="J8" s="47">
        <f t="shared" si="5"/>
        <v>168000</v>
      </c>
      <c r="K8" s="47">
        <f t="shared" si="5"/>
        <v>672000</v>
      </c>
    </row>
    <row r="9" spans="1:11" x14ac:dyDescent="0.3">
      <c r="A9" s="44" t="s">
        <v>115</v>
      </c>
      <c r="B9" s="45" t="s">
        <v>200</v>
      </c>
      <c r="C9" s="46">
        <v>4500</v>
      </c>
      <c r="D9" s="44">
        <f t="shared" si="4"/>
        <v>48</v>
      </c>
      <c r="E9" s="44">
        <v>2</v>
      </c>
      <c r="F9" s="46">
        <f t="shared" si="6"/>
        <v>432000</v>
      </c>
      <c r="G9" s="47">
        <f t="shared" si="5"/>
        <v>108000</v>
      </c>
      <c r="H9" s="47">
        <f t="shared" si="5"/>
        <v>108000</v>
      </c>
      <c r="I9" s="47">
        <f t="shared" si="5"/>
        <v>108000</v>
      </c>
      <c r="J9" s="47">
        <f t="shared" si="5"/>
        <v>108000</v>
      </c>
      <c r="K9" s="47">
        <f t="shared" si="5"/>
        <v>432000</v>
      </c>
    </row>
    <row r="10" spans="1:11" x14ac:dyDescent="0.3">
      <c r="A10" s="44" t="s">
        <v>204</v>
      </c>
      <c r="B10" s="45" t="s">
        <v>214</v>
      </c>
      <c r="C10" s="46">
        <v>3500</v>
      </c>
      <c r="D10" s="44">
        <f t="shared" si="4"/>
        <v>48</v>
      </c>
      <c r="E10" s="44">
        <v>6</v>
      </c>
      <c r="F10" s="46">
        <f t="shared" si="6"/>
        <v>1008000</v>
      </c>
      <c r="G10" s="47">
        <f t="shared" si="5"/>
        <v>252000</v>
      </c>
      <c r="H10" s="47">
        <f t="shared" si="5"/>
        <v>252000</v>
      </c>
      <c r="I10" s="47">
        <f t="shared" si="5"/>
        <v>252000</v>
      </c>
      <c r="J10" s="47">
        <f t="shared" si="5"/>
        <v>252000</v>
      </c>
      <c r="K10" s="47">
        <f t="shared" si="5"/>
        <v>1008000</v>
      </c>
    </row>
    <row r="11" spans="1:11" x14ac:dyDescent="0.3">
      <c r="A11" s="44" t="s">
        <v>116</v>
      </c>
      <c r="B11" s="45" t="s">
        <v>210</v>
      </c>
      <c r="C11" s="46">
        <v>3500</v>
      </c>
      <c r="D11" s="44">
        <f t="shared" si="4"/>
        <v>48</v>
      </c>
      <c r="E11" s="44">
        <v>1</v>
      </c>
      <c r="F11" s="46">
        <f t="shared" ref="F11" si="7">C11*D11*E11</f>
        <v>168000</v>
      </c>
      <c r="G11" s="47">
        <f t="shared" si="5"/>
        <v>42000</v>
      </c>
      <c r="H11" s="47">
        <f t="shared" si="5"/>
        <v>42000</v>
      </c>
      <c r="I11" s="47">
        <f t="shared" si="5"/>
        <v>42000</v>
      </c>
      <c r="J11" s="47">
        <f t="shared" si="5"/>
        <v>42000</v>
      </c>
      <c r="K11" s="47">
        <f t="shared" si="5"/>
        <v>168000</v>
      </c>
    </row>
    <row r="12" spans="1:11" x14ac:dyDescent="0.3">
      <c r="A12" s="44" t="s">
        <v>117</v>
      </c>
      <c r="B12" s="45" t="s">
        <v>211</v>
      </c>
      <c r="C12" s="46">
        <v>2250</v>
      </c>
      <c r="D12" s="44">
        <v>48</v>
      </c>
      <c r="E12" s="44">
        <v>2</v>
      </c>
      <c r="F12" s="46">
        <f t="shared" ref="F12:F13" si="8">C12*D12*E12</f>
        <v>216000</v>
      </c>
      <c r="G12" s="47">
        <f t="shared" si="5"/>
        <v>54000</v>
      </c>
      <c r="H12" s="47">
        <f t="shared" si="5"/>
        <v>54000</v>
      </c>
      <c r="I12" s="47">
        <f t="shared" si="5"/>
        <v>54000</v>
      </c>
      <c r="J12" s="47">
        <f t="shared" si="5"/>
        <v>54000</v>
      </c>
      <c r="K12" s="47">
        <f t="shared" si="5"/>
        <v>216000</v>
      </c>
    </row>
    <row r="13" spans="1:11" x14ac:dyDescent="0.3">
      <c r="A13" s="44" t="s">
        <v>118</v>
      </c>
      <c r="B13" s="45" t="s">
        <v>213</v>
      </c>
      <c r="C13" s="46">
        <v>1200</v>
      </c>
      <c r="D13" s="44">
        <v>48</v>
      </c>
      <c r="E13" s="44">
        <v>2</v>
      </c>
      <c r="F13" s="46">
        <f t="shared" si="8"/>
        <v>115200</v>
      </c>
      <c r="G13" s="47">
        <f t="shared" si="5"/>
        <v>28800</v>
      </c>
      <c r="H13" s="47">
        <f t="shared" si="5"/>
        <v>28800</v>
      </c>
      <c r="I13" s="47">
        <f t="shared" si="5"/>
        <v>28800</v>
      </c>
      <c r="J13" s="47">
        <f t="shared" si="5"/>
        <v>28800</v>
      </c>
      <c r="K13" s="47">
        <f t="shared" si="5"/>
        <v>115200</v>
      </c>
    </row>
    <row r="14" spans="1:11" x14ac:dyDescent="0.3">
      <c r="A14" s="44" t="s">
        <v>157</v>
      </c>
      <c r="B14" s="45" t="s">
        <v>201</v>
      </c>
      <c r="C14" s="111">
        <v>2200</v>
      </c>
      <c r="D14" s="44">
        <v>44</v>
      </c>
      <c r="E14" s="44">
        <v>40</v>
      </c>
      <c r="F14" s="46">
        <f t="shared" ref="F14:F15" si="9">C14*D14*E14</f>
        <v>3872000</v>
      </c>
      <c r="G14" s="47">
        <f t="shared" si="5"/>
        <v>968000</v>
      </c>
      <c r="H14" s="47">
        <f t="shared" si="5"/>
        <v>968000</v>
      </c>
      <c r="I14" s="47">
        <f t="shared" si="5"/>
        <v>968000</v>
      </c>
      <c r="J14" s="47">
        <f t="shared" si="5"/>
        <v>968000</v>
      </c>
      <c r="K14" s="47">
        <f t="shared" si="5"/>
        <v>3872000</v>
      </c>
    </row>
    <row r="15" spans="1:11" x14ac:dyDescent="0.3">
      <c r="A15" s="44" t="s">
        <v>199</v>
      </c>
      <c r="B15" s="45" t="s">
        <v>202</v>
      </c>
      <c r="C15" s="111">
        <v>2200</v>
      </c>
      <c r="D15" s="44">
        <v>44</v>
      </c>
      <c r="E15" s="44">
        <v>9</v>
      </c>
      <c r="F15" s="46">
        <f t="shared" si="9"/>
        <v>871200</v>
      </c>
      <c r="G15" s="47">
        <f t="shared" si="5"/>
        <v>217800</v>
      </c>
      <c r="H15" s="47">
        <f t="shared" si="5"/>
        <v>217800</v>
      </c>
      <c r="I15" s="47">
        <f t="shared" si="5"/>
        <v>217800</v>
      </c>
      <c r="J15" s="47">
        <f t="shared" si="5"/>
        <v>217800</v>
      </c>
      <c r="K15" s="47">
        <f t="shared" si="5"/>
        <v>871200</v>
      </c>
    </row>
    <row r="16" spans="1:11" x14ac:dyDescent="0.3">
      <c r="A16" s="48">
        <v>2</v>
      </c>
      <c r="B16" s="49" t="s">
        <v>124</v>
      </c>
      <c r="C16" s="50"/>
      <c r="D16" s="51"/>
      <c r="E16" s="48" t="s">
        <v>111</v>
      </c>
      <c r="F16" s="52">
        <f t="shared" ref="F16:K16" si="10">SUBTOTAL(9,F17:F18)</f>
        <v>1166000</v>
      </c>
      <c r="G16" s="52">
        <f t="shared" si="10"/>
        <v>291500</v>
      </c>
      <c r="H16" s="52">
        <f t="shared" si="10"/>
        <v>291500</v>
      </c>
      <c r="I16" s="52">
        <f t="shared" si="10"/>
        <v>291500</v>
      </c>
      <c r="J16" s="52">
        <f t="shared" si="10"/>
        <v>291500</v>
      </c>
      <c r="K16" s="52">
        <f t="shared" si="10"/>
        <v>1166000</v>
      </c>
    </row>
    <row r="17" spans="1:13" x14ac:dyDescent="0.3">
      <c r="A17" s="44" t="s">
        <v>5</v>
      </c>
      <c r="B17" s="45" t="s">
        <v>125</v>
      </c>
      <c r="C17" s="46">
        <v>20000</v>
      </c>
      <c r="D17" s="44">
        <v>44</v>
      </c>
      <c r="E17" s="44">
        <v>1</v>
      </c>
      <c r="F17" s="46">
        <f t="shared" ref="F17:F18" si="11">C17*D17*E17</f>
        <v>880000</v>
      </c>
      <c r="G17" s="47">
        <f t="shared" ref="G17:K18" si="12">$F17*(G$3/$D$4)</f>
        <v>220000</v>
      </c>
      <c r="H17" s="47">
        <f t="shared" si="12"/>
        <v>220000</v>
      </c>
      <c r="I17" s="47">
        <f t="shared" si="12"/>
        <v>220000</v>
      </c>
      <c r="J17" s="47">
        <f t="shared" si="12"/>
        <v>220000</v>
      </c>
      <c r="K17" s="47">
        <f t="shared" si="12"/>
        <v>880000</v>
      </c>
    </row>
    <row r="18" spans="1:13" x14ac:dyDescent="0.3">
      <c r="A18" s="44" t="s">
        <v>6</v>
      </c>
      <c r="B18" s="45" t="s">
        <v>133</v>
      </c>
      <c r="C18" s="46">
        <v>6500</v>
      </c>
      <c r="D18" s="44">
        <v>44</v>
      </c>
      <c r="E18" s="44">
        <v>1</v>
      </c>
      <c r="F18" s="46">
        <f t="shared" si="11"/>
        <v>286000</v>
      </c>
      <c r="G18" s="47">
        <f t="shared" si="12"/>
        <v>71500</v>
      </c>
      <c r="H18" s="47">
        <f t="shared" si="12"/>
        <v>71500</v>
      </c>
      <c r="I18" s="47">
        <f t="shared" si="12"/>
        <v>71500</v>
      </c>
      <c r="J18" s="47">
        <f t="shared" si="12"/>
        <v>71500</v>
      </c>
      <c r="K18" s="47">
        <f t="shared" si="12"/>
        <v>286000</v>
      </c>
    </row>
    <row r="19" spans="1:13" hidden="1" x14ac:dyDescent="0.3">
      <c r="A19" s="48">
        <v>3</v>
      </c>
      <c r="B19" s="49" t="s">
        <v>112</v>
      </c>
      <c r="C19" s="50"/>
      <c r="D19" s="51"/>
      <c r="E19" s="48" t="s">
        <v>111</v>
      </c>
      <c r="F19" s="52">
        <f>SUBTOTAL(9,F20:F24)</f>
        <v>0</v>
      </c>
      <c r="G19" s="52">
        <f>SUBTOTAL(9,G20:G24)</f>
        <v>0</v>
      </c>
      <c r="H19" s="52">
        <f t="shared" ref="H19:K19" si="13">SUBTOTAL(9,H20:H24)</f>
        <v>0</v>
      </c>
      <c r="I19" s="52">
        <f t="shared" si="13"/>
        <v>0</v>
      </c>
      <c r="J19" s="52">
        <f t="shared" si="13"/>
        <v>0</v>
      </c>
      <c r="K19" s="52">
        <f t="shared" si="13"/>
        <v>0</v>
      </c>
    </row>
    <row r="20" spans="1:13" hidden="1" x14ac:dyDescent="0.3">
      <c r="A20" s="44" t="s">
        <v>7</v>
      </c>
      <c r="B20" s="45" t="s">
        <v>104</v>
      </c>
      <c r="C20" s="46">
        <v>12999</v>
      </c>
      <c r="D20" s="44">
        <v>1</v>
      </c>
      <c r="E20" s="44">
        <v>0</v>
      </c>
      <c r="F20" s="46">
        <f t="shared" ref="F20:F24" si="14">C20*D20*E20</f>
        <v>0</v>
      </c>
      <c r="G20" s="47">
        <f t="shared" ref="G20:K26" si="15">$F20*(G$3/$D$4)</f>
        <v>0</v>
      </c>
      <c r="H20" s="47">
        <f t="shared" si="15"/>
        <v>0</v>
      </c>
      <c r="I20" s="47">
        <f t="shared" si="15"/>
        <v>0</v>
      </c>
      <c r="J20" s="47">
        <f t="shared" si="15"/>
        <v>0</v>
      </c>
      <c r="K20" s="47">
        <f t="shared" si="15"/>
        <v>0</v>
      </c>
    </row>
    <row r="21" spans="1:13" hidden="1" x14ac:dyDescent="0.3">
      <c r="A21" s="44" t="s">
        <v>119</v>
      </c>
      <c r="B21" s="45" t="s">
        <v>106</v>
      </c>
      <c r="C21" s="46">
        <v>1309</v>
      </c>
      <c r="D21" s="44">
        <v>1</v>
      </c>
      <c r="E21" s="44">
        <v>0</v>
      </c>
      <c r="F21" s="46">
        <f t="shared" si="14"/>
        <v>0</v>
      </c>
      <c r="G21" s="47">
        <f t="shared" si="15"/>
        <v>0</v>
      </c>
      <c r="H21" s="47">
        <f t="shared" si="15"/>
        <v>0</v>
      </c>
      <c r="I21" s="47">
        <f t="shared" si="15"/>
        <v>0</v>
      </c>
      <c r="J21" s="47">
        <f t="shared" si="15"/>
        <v>0</v>
      </c>
      <c r="K21" s="47">
        <f t="shared" si="15"/>
        <v>0</v>
      </c>
    </row>
    <row r="22" spans="1:13" s="69" customFormat="1" hidden="1" x14ac:dyDescent="0.3">
      <c r="A22" s="44" t="s">
        <v>120</v>
      </c>
      <c r="B22" s="45" t="s">
        <v>126</v>
      </c>
      <c r="C22" s="46">
        <v>675</v>
      </c>
      <c r="D22" s="44">
        <v>1</v>
      </c>
      <c r="E22" s="44">
        <v>0</v>
      </c>
      <c r="F22" s="46">
        <f t="shared" si="14"/>
        <v>0</v>
      </c>
      <c r="G22" s="47">
        <f t="shared" si="15"/>
        <v>0</v>
      </c>
      <c r="H22" s="47">
        <f t="shared" si="15"/>
        <v>0</v>
      </c>
      <c r="I22" s="47">
        <f t="shared" si="15"/>
        <v>0</v>
      </c>
      <c r="J22" s="47">
        <f t="shared" si="15"/>
        <v>0</v>
      </c>
      <c r="K22" s="47">
        <f t="shared" si="15"/>
        <v>0</v>
      </c>
    </row>
    <row r="23" spans="1:13" s="69" customFormat="1" hidden="1" x14ac:dyDescent="0.3">
      <c r="A23" s="44" t="s">
        <v>121</v>
      </c>
      <c r="B23" s="45" t="s">
        <v>107</v>
      </c>
      <c r="C23" s="46">
        <v>767</v>
      </c>
      <c r="D23" s="44">
        <v>1</v>
      </c>
      <c r="E23" s="44">
        <v>0</v>
      </c>
      <c r="F23" s="46">
        <f t="shared" si="14"/>
        <v>0</v>
      </c>
      <c r="G23" s="47">
        <f t="shared" si="15"/>
        <v>0</v>
      </c>
      <c r="H23" s="47">
        <f t="shared" si="15"/>
        <v>0</v>
      </c>
      <c r="I23" s="47">
        <f t="shared" si="15"/>
        <v>0</v>
      </c>
      <c r="J23" s="47">
        <f t="shared" si="15"/>
        <v>0</v>
      </c>
      <c r="K23" s="47">
        <f t="shared" si="15"/>
        <v>0</v>
      </c>
    </row>
    <row r="24" spans="1:13" s="69" customFormat="1" hidden="1" x14ac:dyDescent="0.3">
      <c r="A24" s="44" t="s">
        <v>122</v>
      </c>
      <c r="B24" s="45" t="s">
        <v>105</v>
      </c>
      <c r="C24" s="46">
        <v>760</v>
      </c>
      <c r="D24" s="44">
        <v>1</v>
      </c>
      <c r="E24" s="44">
        <v>0</v>
      </c>
      <c r="F24" s="46">
        <f t="shared" si="14"/>
        <v>0</v>
      </c>
      <c r="G24" s="47">
        <f t="shared" si="15"/>
        <v>0</v>
      </c>
      <c r="H24" s="47">
        <f t="shared" si="15"/>
        <v>0</v>
      </c>
      <c r="I24" s="47">
        <f t="shared" si="15"/>
        <v>0</v>
      </c>
      <c r="J24" s="47">
        <f t="shared" si="15"/>
        <v>0</v>
      </c>
      <c r="K24" s="47">
        <f t="shared" si="15"/>
        <v>0</v>
      </c>
    </row>
    <row r="25" spans="1:13" x14ac:dyDescent="0.3">
      <c r="A25" s="48" t="s">
        <v>159</v>
      </c>
      <c r="B25" s="49" t="s">
        <v>215</v>
      </c>
      <c r="C25" s="50"/>
      <c r="D25" s="51"/>
      <c r="E25" s="48" t="s">
        <v>111</v>
      </c>
      <c r="F25" s="52">
        <f>SUBTOTAL(9,F26:F26)</f>
        <v>880000</v>
      </c>
      <c r="G25" s="52">
        <f t="shared" ref="G25:K25" si="16">SUBTOTAL(9,G26:G26)</f>
        <v>220000</v>
      </c>
      <c r="H25" s="52">
        <f t="shared" si="16"/>
        <v>220000</v>
      </c>
      <c r="I25" s="52">
        <f t="shared" si="16"/>
        <v>220000</v>
      </c>
      <c r="J25" s="52">
        <f t="shared" si="16"/>
        <v>220000</v>
      </c>
      <c r="K25" s="52">
        <f t="shared" si="16"/>
        <v>880000</v>
      </c>
    </row>
    <row r="26" spans="1:13" s="69" customFormat="1" ht="60" x14ac:dyDescent="0.3">
      <c r="A26" s="44" t="s">
        <v>7</v>
      </c>
      <c r="B26" s="45" t="s">
        <v>216</v>
      </c>
      <c r="C26" s="46">
        <v>500</v>
      </c>
      <c r="D26" s="44">
        <v>44</v>
      </c>
      <c r="E26" s="44">
        <v>40</v>
      </c>
      <c r="F26" s="46">
        <f t="shared" ref="F26:F34" si="17">C26*D26*E26</f>
        <v>880000</v>
      </c>
      <c r="G26" s="105">
        <f t="shared" si="15"/>
        <v>220000</v>
      </c>
      <c r="H26" s="105">
        <f t="shared" si="15"/>
        <v>220000</v>
      </c>
      <c r="I26" s="105">
        <f t="shared" si="15"/>
        <v>220000</v>
      </c>
      <c r="J26" s="105">
        <f t="shared" si="15"/>
        <v>220000</v>
      </c>
      <c r="K26" s="105">
        <f t="shared" si="15"/>
        <v>880000</v>
      </c>
    </row>
    <row r="27" spans="1:13" x14ac:dyDescent="0.3">
      <c r="A27" s="48">
        <v>4</v>
      </c>
      <c r="B27" s="49" t="s">
        <v>11</v>
      </c>
      <c r="C27" s="50"/>
      <c r="D27" s="51"/>
      <c r="E27" s="48" t="s">
        <v>1</v>
      </c>
      <c r="F27" s="52">
        <f t="shared" ref="F27:K27" si="18">SUBTOTAL(9,F28:F34)</f>
        <v>484291.24</v>
      </c>
      <c r="G27" s="52">
        <f t="shared" si="18"/>
        <v>121072.81</v>
      </c>
      <c r="H27" s="52">
        <f t="shared" si="18"/>
        <v>121072.81</v>
      </c>
      <c r="I27" s="52">
        <f t="shared" si="18"/>
        <v>121072.81</v>
      </c>
      <c r="J27" s="52">
        <f t="shared" si="18"/>
        <v>121072.81</v>
      </c>
      <c r="K27" s="52">
        <f t="shared" si="18"/>
        <v>484291.24</v>
      </c>
    </row>
    <row r="28" spans="1:13" x14ac:dyDescent="0.3">
      <c r="A28" s="44" t="s">
        <v>81</v>
      </c>
      <c r="B28" s="45" t="s">
        <v>41</v>
      </c>
      <c r="C28" s="46">
        <v>381.14</v>
      </c>
      <c r="D28" s="44">
        <f t="shared" ref="D28:D32" si="19">$D$4</f>
        <v>48</v>
      </c>
      <c r="E28" s="44">
        <v>7</v>
      </c>
      <c r="F28" s="46">
        <f t="shared" si="17"/>
        <v>128063.04000000001</v>
      </c>
      <c r="G28" s="47">
        <f t="shared" ref="G28:K34" si="20">$F28*(G$3/$D$4)</f>
        <v>32015.760000000002</v>
      </c>
      <c r="H28" s="47">
        <f t="shared" si="20"/>
        <v>32015.760000000002</v>
      </c>
      <c r="I28" s="47">
        <f t="shared" si="20"/>
        <v>32015.760000000002</v>
      </c>
      <c r="J28" s="47">
        <f t="shared" si="20"/>
        <v>32015.760000000002</v>
      </c>
      <c r="K28" s="47">
        <f t="shared" si="20"/>
        <v>128063.04000000001</v>
      </c>
      <c r="M28" s="70"/>
    </row>
    <row r="29" spans="1:13" x14ac:dyDescent="0.3">
      <c r="A29" s="44" t="s">
        <v>83</v>
      </c>
      <c r="B29" s="45" t="s">
        <v>42</v>
      </c>
      <c r="C29" s="46">
        <f>5.17*390</f>
        <v>2016.3</v>
      </c>
      <c r="D29" s="44">
        <v>2</v>
      </c>
      <c r="E29" s="44">
        <v>7</v>
      </c>
      <c r="F29" s="46">
        <f t="shared" ref="F29" si="21">C29*D29*E29</f>
        <v>28228.2</v>
      </c>
      <c r="G29" s="47">
        <f t="shared" si="20"/>
        <v>7057.05</v>
      </c>
      <c r="H29" s="47">
        <f t="shared" si="20"/>
        <v>7057.05</v>
      </c>
      <c r="I29" s="47">
        <f t="shared" si="20"/>
        <v>7057.05</v>
      </c>
      <c r="J29" s="47">
        <f t="shared" si="20"/>
        <v>7057.05</v>
      </c>
      <c r="K29" s="47">
        <f t="shared" si="20"/>
        <v>28228.2</v>
      </c>
      <c r="M29" s="70"/>
    </row>
    <row r="30" spans="1:13" x14ac:dyDescent="0.3">
      <c r="A30" s="44" t="s">
        <v>205</v>
      </c>
      <c r="B30" s="45" t="s">
        <v>158</v>
      </c>
      <c r="C30" s="46">
        <v>500</v>
      </c>
      <c r="D30" s="44">
        <f t="shared" si="19"/>
        <v>48</v>
      </c>
      <c r="E30" s="44">
        <v>2</v>
      </c>
      <c r="F30" s="46">
        <f t="shared" ref="F30" si="22">C30*D30*E30</f>
        <v>48000</v>
      </c>
      <c r="G30" s="47">
        <f t="shared" si="20"/>
        <v>12000</v>
      </c>
      <c r="H30" s="47">
        <f t="shared" si="20"/>
        <v>12000</v>
      </c>
      <c r="I30" s="47">
        <f t="shared" si="20"/>
        <v>12000</v>
      </c>
      <c r="J30" s="47">
        <f t="shared" si="20"/>
        <v>12000</v>
      </c>
      <c r="K30" s="47">
        <f t="shared" si="20"/>
        <v>48000</v>
      </c>
      <c r="M30" s="70"/>
    </row>
    <row r="31" spans="1:13" x14ac:dyDescent="0.3">
      <c r="A31" s="44" t="s">
        <v>206</v>
      </c>
      <c r="B31" s="45" t="s">
        <v>43</v>
      </c>
      <c r="C31" s="46">
        <v>10000</v>
      </c>
      <c r="D31" s="44">
        <v>2</v>
      </c>
      <c r="E31" s="44">
        <v>2</v>
      </c>
      <c r="F31" s="46">
        <f t="shared" si="17"/>
        <v>40000</v>
      </c>
      <c r="G31" s="47">
        <f t="shared" si="20"/>
        <v>10000</v>
      </c>
      <c r="H31" s="47">
        <f t="shared" si="20"/>
        <v>10000</v>
      </c>
      <c r="I31" s="47">
        <f t="shared" si="20"/>
        <v>10000</v>
      </c>
      <c r="J31" s="47">
        <f t="shared" si="20"/>
        <v>10000</v>
      </c>
      <c r="K31" s="47">
        <f t="shared" si="20"/>
        <v>40000</v>
      </c>
    </row>
    <row r="32" spans="1:13" x14ac:dyDescent="0.3">
      <c r="A32" s="44" t="s">
        <v>207</v>
      </c>
      <c r="B32" s="45" t="s">
        <v>17</v>
      </c>
      <c r="C32" s="46">
        <v>2500</v>
      </c>
      <c r="D32" s="44">
        <f t="shared" si="19"/>
        <v>48</v>
      </c>
      <c r="E32" s="44">
        <v>2</v>
      </c>
      <c r="F32" s="46">
        <f t="shared" si="17"/>
        <v>240000</v>
      </c>
      <c r="G32" s="47">
        <f t="shared" si="20"/>
        <v>60000</v>
      </c>
      <c r="H32" s="47">
        <f t="shared" si="20"/>
        <v>60000</v>
      </c>
      <c r="I32" s="47">
        <f t="shared" si="20"/>
        <v>60000</v>
      </c>
      <c r="J32" s="47">
        <f t="shared" si="20"/>
        <v>60000</v>
      </c>
      <c r="K32" s="47">
        <f t="shared" si="20"/>
        <v>240000</v>
      </c>
    </row>
    <row r="33" spans="1:11" hidden="1" x14ac:dyDescent="0.3">
      <c r="A33" s="44" t="s">
        <v>208</v>
      </c>
      <c r="B33" s="54" t="s">
        <v>43</v>
      </c>
      <c r="C33" s="55">
        <v>5685.75</v>
      </c>
      <c r="D33" s="53">
        <v>1</v>
      </c>
      <c r="E33" s="53"/>
      <c r="F33" s="55">
        <f t="shared" si="17"/>
        <v>0</v>
      </c>
      <c r="G33" s="47">
        <f t="shared" si="20"/>
        <v>0</v>
      </c>
      <c r="H33" s="47">
        <f t="shared" si="20"/>
        <v>0</v>
      </c>
      <c r="I33" s="47">
        <f t="shared" si="20"/>
        <v>0</v>
      </c>
      <c r="J33" s="47">
        <f t="shared" si="20"/>
        <v>0</v>
      </c>
      <c r="K33" s="47">
        <f t="shared" si="20"/>
        <v>0</v>
      </c>
    </row>
    <row r="34" spans="1:11" hidden="1" x14ac:dyDescent="0.3">
      <c r="A34" s="44" t="s">
        <v>209</v>
      </c>
      <c r="B34" s="54" t="s">
        <v>15</v>
      </c>
      <c r="C34" s="55">
        <v>378.33</v>
      </c>
      <c r="D34" s="53">
        <v>1</v>
      </c>
      <c r="E34" s="53"/>
      <c r="F34" s="55">
        <f t="shared" si="17"/>
        <v>0</v>
      </c>
      <c r="G34" s="47">
        <f t="shared" si="20"/>
        <v>0</v>
      </c>
      <c r="H34" s="47">
        <f t="shared" si="20"/>
        <v>0</v>
      </c>
      <c r="I34" s="47">
        <f t="shared" si="20"/>
        <v>0</v>
      </c>
      <c r="J34" s="47">
        <f t="shared" si="20"/>
        <v>0</v>
      </c>
      <c r="K34" s="47">
        <f t="shared" si="20"/>
        <v>0</v>
      </c>
    </row>
    <row r="35" spans="1:11" x14ac:dyDescent="0.3">
      <c r="A35" s="56"/>
      <c r="B35" s="57"/>
      <c r="C35" s="58"/>
      <c r="D35" s="57"/>
      <c r="E35" s="59" t="s">
        <v>111</v>
      </c>
      <c r="F35" s="35">
        <f t="shared" ref="F35:K35" si="23">SUM(F27,F25,F19,F16,F5)</f>
        <v>10604691.24</v>
      </c>
      <c r="G35" s="35">
        <f t="shared" si="23"/>
        <v>2651172.81</v>
      </c>
      <c r="H35" s="35">
        <f t="shared" si="23"/>
        <v>2651172.81</v>
      </c>
      <c r="I35" s="35">
        <f t="shared" si="23"/>
        <v>2651172.81</v>
      </c>
      <c r="J35" s="35">
        <f t="shared" si="23"/>
        <v>2651172.81</v>
      </c>
      <c r="K35" s="35">
        <f t="shared" si="23"/>
        <v>10604691.24</v>
      </c>
    </row>
    <row r="36" spans="1:11" x14ac:dyDescent="0.3">
      <c r="A36" s="39">
        <v>5</v>
      </c>
      <c r="B36" s="40" t="s">
        <v>20</v>
      </c>
      <c r="C36" s="41"/>
      <c r="D36" s="42"/>
      <c r="E36" s="39" t="s">
        <v>111</v>
      </c>
      <c r="F36" s="43">
        <f>SUBTOTAL(9,F37)</f>
        <v>1272562.9487999999</v>
      </c>
      <c r="G36" s="43">
        <f t="shared" ref="G36:K36" si="24">SUBTOTAL(9,G37)</f>
        <v>318140.73719999997</v>
      </c>
      <c r="H36" s="43">
        <f t="shared" si="24"/>
        <v>318140.73719999997</v>
      </c>
      <c r="I36" s="43">
        <f t="shared" si="24"/>
        <v>318140.73719999997</v>
      </c>
      <c r="J36" s="43">
        <f t="shared" si="24"/>
        <v>318140.73719999997</v>
      </c>
      <c r="K36" s="43">
        <f t="shared" si="24"/>
        <v>1272562.9487999999</v>
      </c>
    </row>
    <row r="37" spans="1:11" x14ac:dyDescent="0.3">
      <c r="A37" s="44" t="s">
        <v>85</v>
      </c>
      <c r="B37" s="45" t="s">
        <v>108</v>
      </c>
      <c r="C37" s="46">
        <f>F35*12%</f>
        <v>1272562.9487999999</v>
      </c>
      <c r="D37" s="44">
        <v>1</v>
      </c>
      <c r="E37" s="60">
        <v>1</v>
      </c>
      <c r="F37" s="46">
        <f t="shared" ref="F37" si="25">C37*D37*E37</f>
        <v>1272562.9487999999</v>
      </c>
      <c r="G37" s="47">
        <f>$F37*(G$3/$D$4)</f>
        <v>318140.73719999997</v>
      </c>
      <c r="H37" s="47">
        <f>$F37*(H$3/$D$4)</f>
        <v>318140.73719999997</v>
      </c>
      <c r="I37" s="47">
        <f>$F37*(I$3/$D$4)</f>
        <v>318140.73719999997</v>
      </c>
      <c r="J37" s="47">
        <f>$F37*(J$3/$D$4)</f>
        <v>318140.73719999997</v>
      </c>
      <c r="K37" s="47">
        <f>$F37*(K$3/$D$4)</f>
        <v>1272562.9487999999</v>
      </c>
    </row>
    <row r="38" spans="1:11" x14ac:dyDescent="0.3">
      <c r="A38" s="61"/>
      <c r="B38" s="62"/>
      <c r="C38" s="63"/>
      <c r="D38" s="62"/>
      <c r="E38" s="37" t="s">
        <v>101</v>
      </c>
      <c r="F38" s="38">
        <f>F35+F36</f>
        <v>11877254.1888</v>
      </c>
      <c r="G38" s="38">
        <f t="shared" ref="G38" si="26">G35+G36</f>
        <v>2969313.5471999999</v>
      </c>
      <c r="H38" s="38">
        <f t="shared" ref="H38:J38" si="27">H35+H36</f>
        <v>2969313.5471999999</v>
      </c>
      <c r="I38" s="38">
        <f t="shared" si="27"/>
        <v>2969313.5471999999</v>
      </c>
      <c r="J38" s="38">
        <f t="shared" si="27"/>
        <v>2969313.5471999999</v>
      </c>
      <c r="K38" s="38">
        <f t="shared" ref="K38" si="28">K35+K36</f>
        <v>11877254.1888</v>
      </c>
    </row>
  </sheetData>
  <phoneticPr fontId="2"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7AB5-E767-4C4E-AE79-086F873EFB6E}">
  <dimension ref="A1:X15"/>
  <sheetViews>
    <sheetView topLeftCell="C7" zoomScale="85" zoomScaleNormal="85" workbookViewId="0">
      <selection activeCell="E12" sqref="E12"/>
    </sheetView>
  </sheetViews>
  <sheetFormatPr defaultColWidth="9.140625" defaultRowHeight="15" x14ac:dyDescent="0.25"/>
  <cols>
    <col min="1" max="1" width="10.28515625" style="107" bestFit="1" customWidth="1"/>
    <col min="2" max="2" width="18.5703125" style="107" bestFit="1" customWidth="1"/>
    <col min="3" max="3" width="28.5703125" style="110" bestFit="1" customWidth="1"/>
    <col min="4" max="4" width="31.85546875" style="104" hidden="1" customWidth="1"/>
    <col min="5" max="5" width="31.85546875" style="104" customWidth="1"/>
    <col min="6" max="6" width="77.140625" style="104" customWidth="1"/>
    <col min="7" max="7" width="8.7109375" style="98" hidden="1" customWidth="1"/>
    <col min="8" max="8" width="11.85546875" style="71" hidden="1" customWidth="1"/>
    <col min="9" max="9" width="16.42578125" style="100" hidden="1" customWidth="1"/>
    <col min="10" max="10" width="13" style="100" hidden="1" customWidth="1"/>
    <col min="11" max="11" width="16.42578125" style="99" hidden="1" customWidth="1"/>
    <col min="12" max="12" width="18.7109375" style="71" bestFit="1" customWidth="1"/>
    <col min="13" max="13" width="16" style="81" bestFit="1" customWidth="1"/>
    <col min="14" max="14" width="18.85546875" style="72" bestFit="1" customWidth="1"/>
    <col min="15" max="15" width="15.85546875" style="72" bestFit="1" customWidth="1"/>
    <col min="16" max="16" width="18.42578125" style="71" bestFit="1" customWidth="1"/>
    <col min="17" max="17" width="18.5703125" style="71" bestFit="1" customWidth="1"/>
    <col min="18" max="18" width="18.7109375" style="71" customWidth="1"/>
    <col min="19" max="21" width="19.140625" style="72" customWidth="1"/>
    <col min="22" max="22" width="20.85546875" style="72" bestFit="1" customWidth="1"/>
    <col min="23" max="23" width="15.5703125" style="72" bestFit="1" customWidth="1"/>
    <col min="24" max="24" width="14.28515625" style="72" bestFit="1" customWidth="1"/>
    <col min="25" max="16384" width="9.140625" style="72"/>
  </cols>
  <sheetData>
    <row r="1" spans="1:24" s="71" customFormat="1" x14ac:dyDescent="0.25">
      <c r="A1" s="102" t="s">
        <v>156</v>
      </c>
      <c r="B1" s="102" t="s">
        <v>169</v>
      </c>
      <c r="C1" s="108" t="s">
        <v>167</v>
      </c>
      <c r="D1" s="102" t="s">
        <v>155</v>
      </c>
      <c r="E1" s="102" t="s">
        <v>161</v>
      </c>
      <c r="F1" s="102" t="s">
        <v>160</v>
      </c>
      <c r="G1" s="94" t="s">
        <v>0</v>
      </c>
      <c r="H1" s="93" t="s">
        <v>142</v>
      </c>
      <c r="I1" s="95" t="s">
        <v>143</v>
      </c>
      <c r="J1" s="95" t="s">
        <v>141</v>
      </c>
      <c r="K1" s="96" t="s">
        <v>138</v>
      </c>
      <c r="L1" s="93" t="s">
        <v>146</v>
      </c>
      <c r="M1" s="97" t="s">
        <v>1</v>
      </c>
      <c r="N1" s="93" t="s">
        <v>147</v>
      </c>
      <c r="O1" s="93" t="s">
        <v>134</v>
      </c>
      <c r="P1" s="93" t="s">
        <v>148</v>
      </c>
      <c r="Q1" s="93" t="s">
        <v>149</v>
      </c>
      <c r="R1" s="93" t="s">
        <v>144</v>
      </c>
      <c r="S1" s="93" t="s">
        <v>109</v>
      </c>
      <c r="T1" s="93" t="s">
        <v>110</v>
      </c>
      <c r="U1" s="93" t="s">
        <v>127</v>
      </c>
      <c r="V1" s="93" t="s">
        <v>128</v>
      </c>
      <c r="W1" s="93" t="s">
        <v>140</v>
      </c>
      <c r="X1" s="93" t="s">
        <v>145</v>
      </c>
    </row>
    <row r="2" spans="1:24" ht="60" x14ac:dyDescent="0.25">
      <c r="A2" s="106">
        <v>1</v>
      </c>
      <c r="B2" s="103" t="s">
        <v>168</v>
      </c>
      <c r="C2" s="109" t="s">
        <v>170</v>
      </c>
      <c r="D2" s="103" t="s">
        <v>151</v>
      </c>
      <c r="E2" s="103" t="s">
        <v>171</v>
      </c>
      <c r="F2" s="103" t="s">
        <v>162</v>
      </c>
      <c r="G2" s="98">
        <f t="shared" ref="G2:G15" si="0">DATEDIF($P2,$Q2,"m")</f>
        <v>48</v>
      </c>
      <c r="H2" s="99">
        <f>Tabela25[[#This Row],[Meses]]/SUM(Tabela25[Meses])</f>
        <v>7.6923076923076927E-2</v>
      </c>
      <c r="I2" s="100">
        <v>20</v>
      </c>
      <c r="J2" s="100">
        <f>Tabela25[[#This Row],[Dificuldade]]*Tabela25[[#This Row],[Tempo]]</f>
        <v>1.5384615384615385</v>
      </c>
      <c r="K2" s="101">
        <f>Tabela25[[#This Row],[Dificuldade]]/SUM(Tabela25[Dificuldade])</f>
        <v>0.11299435028248588</v>
      </c>
      <c r="L2" s="71" t="s">
        <v>135</v>
      </c>
      <c r="M2" s="81">
        <v>792</v>
      </c>
      <c r="N2" s="89">
        <f>Despesas!$K$4*Tabela25[[#This Row],[% Esforço]]/Tabela25[[#This Row],[Quant.]]</f>
        <v>1694.5235103578154</v>
      </c>
      <c r="O2" s="89">
        <f>Tabela25[[#This Row],[V. Unit.]]*Tabela25[[#This Row],[Quant.]]</f>
        <v>1342062.6202033898</v>
      </c>
      <c r="P2" s="83">
        <v>45170</v>
      </c>
      <c r="Q2" s="83">
        <v>46631</v>
      </c>
      <c r="R2" s="84">
        <f>Tabela25[[#This Row],[Encerramento]]-Tabela25[[#This Row],[Início]]</f>
        <v>1461</v>
      </c>
      <c r="S2" s="85">
        <f>IF(AND(Tabela25[[#This Row],[Início]]&lt;Despesas!$H$2,Tabela25[[#This Row],[Encerramento]]&gt;Despesas!$G$2),ROUND((MIN(Tabela25[[#This Row],[Encerramento]],Despesas!$H$2-1)-MAX(Tabela25[[#This Row],[Início]],Despesas!$G$2)+1)*Tabela25[[#This Row],[Valor Total]]/Tabela25[[#This Row],[Número de dias]],2),0)</f>
        <v>336204.6</v>
      </c>
      <c r="T2" s="86">
        <f>IF(AND(Tabela25[[#This Row],[Início]]&lt;Despesas!$I$2,Tabela25[[#This Row],[Encerramento]]&gt;Despesas!$H$2),ROUND((MIN(Tabela25[[#This Row],[Encerramento]],Despesas!$I$2-1)-MAX(Tabela25[[#This Row],[Início]],Despesas!$H$2)+1)*Tabela25[[#This Row],[Valor Total]]/Tabela25[[#This Row],[Número de dias]],2),0)</f>
        <v>335286.01</v>
      </c>
      <c r="U2" s="86">
        <f>IF(AND(Tabela25[[#This Row],[Início]]&lt;Despesas!$J$2,Tabela25[[#This Row],[Encerramento]]&gt;Despesas!$I$2),ROUND((MIN(Tabela25[[#This Row],[Encerramento]],Despesas!$J$2-1)-MAX(Tabela25[[#This Row],[Início]],Despesas!$I$2)+1)*Tabela25[[#This Row],[Valor Total]]/Tabela25[[#This Row],[Número de dias]],2),0)</f>
        <v>335286.01</v>
      </c>
      <c r="V2" s="86">
        <f>IF(AND(Tabela25[[#This Row],[Início]]&lt;Despesas!$K$2,Tabela25[[#This Row],[Encerramento]]&gt;Despesas!$J$2),ROUND((MIN(Tabela25[[#This Row],[Encerramento]],Despesas!$K$2-1)-MAX(Tabela25[[#This Row],[Início]],Despesas!$J$2)+1)*Tabela25[[#This Row],[Valor Total]]/Tabela25[[#This Row],[Número de dias]],2),0)</f>
        <v>280170.5</v>
      </c>
      <c r="W2" s="87">
        <f>SUM(Tabela25[[#This Row],[Desembolso 01]:[Desembolso 04]])</f>
        <v>1286947.1200000001</v>
      </c>
      <c r="X2" s="82">
        <f>Tabela25[[#This Row],[Soma]]-Tabela25[[#This Row],[Valor Total]]</f>
        <v>-55115.500203389674</v>
      </c>
    </row>
    <row r="3" spans="1:24" ht="75" x14ac:dyDescent="0.25">
      <c r="A3" s="106">
        <v>2</v>
      </c>
      <c r="B3" s="103" t="s">
        <v>168</v>
      </c>
      <c r="C3" s="109" t="s">
        <v>172</v>
      </c>
      <c r="D3" s="103" t="s">
        <v>151</v>
      </c>
      <c r="E3" s="103" t="s">
        <v>173</v>
      </c>
      <c r="F3" s="103" t="s">
        <v>163</v>
      </c>
      <c r="G3" s="98">
        <f t="shared" si="0"/>
        <v>48</v>
      </c>
      <c r="H3" s="99">
        <f>Tabela25[[#This Row],[Meses]]/SUM(Tabela25[Meses])</f>
        <v>7.6923076923076927E-2</v>
      </c>
      <c r="I3" s="100">
        <v>20</v>
      </c>
      <c r="J3" s="100">
        <f>Tabela25[[#This Row],[Dificuldade]]*Tabela25[[#This Row],[Tempo]]</f>
        <v>1.5384615384615385</v>
      </c>
      <c r="K3" s="101">
        <f>Tabela25[[#This Row],[Dificuldade]]/SUM(Tabela25[Dificuldade])</f>
        <v>0.11299435028248588</v>
      </c>
      <c r="L3" s="71" t="s">
        <v>135</v>
      </c>
      <c r="M3" s="81">
        <v>1</v>
      </c>
      <c r="N3" s="89">
        <f>Despesas!$K$4*Tabela25[[#This Row],[% Esforço]]/Tabela25[[#This Row],[Quant.]]</f>
        <v>1342062.6202033898</v>
      </c>
      <c r="O3" s="89">
        <f>Tabela25[[#This Row],[V. Unit.]]*Tabela25[[#This Row],[Quant.]]</f>
        <v>1342062.6202033898</v>
      </c>
      <c r="P3" s="83">
        <v>45170</v>
      </c>
      <c r="Q3" s="83">
        <v>46631</v>
      </c>
      <c r="R3" s="84">
        <f>Tabela25[[#This Row],[Encerramento]]-Tabela25[[#This Row],[Início]]</f>
        <v>1461</v>
      </c>
      <c r="S3" s="85">
        <f>IF(AND(Tabela25[[#This Row],[Início]]&lt;Despesas!$H$2,Tabela25[[#This Row],[Encerramento]]&gt;Despesas!$G$2),ROUND((MIN(Tabela25[[#This Row],[Encerramento]],Despesas!$H$2-1)-MAX(Tabela25[[#This Row],[Início]],Despesas!$G$2)+1)*Tabela25[[#This Row],[Valor Total]]/Tabela25[[#This Row],[Número de dias]],2),0)</f>
        <v>336204.6</v>
      </c>
      <c r="T3" s="86">
        <f>IF(AND(Tabela25[[#This Row],[Início]]&lt;Despesas!$I$2,Tabela25[[#This Row],[Encerramento]]&gt;Despesas!$H$2),ROUND((MIN(Tabela25[[#This Row],[Encerramento]],Despesas!$I$2-1)-MAX(Tabela25[[#This Row],[Início]],Despesas!$H$2)+1)*Tabela25[[#This Row],[Valor Total]]/Tabela25[[#This Row],[Número de dias]],2),0)</f>
        <v>335286.01</v>
      </c>
      <c r="U3" s="86">
        <f>IF(AND(Tabela25[[#This Row],[Início]]&lt;Despesas!$J$2,Tabela25[[#This Row],[Encerramento]]&gt;Despesas!$I$2),ROUND((MIN(Tabela25[[#This Row],[Encerramento]],Despesas!$J$2-1)-MAX(Tabela25[[#This Row],[Início]],Despesas!$I$2)+1)*Tabela25[[#This Row],[Valor Total]]/Tabela25[[#This Row],[Número de dias]],2),0)</f>
        <v>335286.01</v>
      </c>
      <c r="V3" s="86">
        <f>IF(AND(Tabela25[[#This Row],[Início]]&lt;Despesas!$K$2,Tabela25[[#This Row],[Encerramento]]&gt;Despesas!$J$2),ROUND((MIN(Tabela25[[#This Row],[Encerramento]],Despesas!$K$2-1)-MAX(Tabela25[[#This Row],[Início]],Despesas!$J$2)+1)*Tabela25[[#This Row],[Valor Total]]/Tabela25[[#This Row],[Número de dias]],2),0)</f>
        <v>280170.5</v>
      </c>
      <c r="W3" s="87">
        <f>SUM(Tabela25[[#This Row],[Desembolso 01]:[Desembolso 04]])</f>
        <v>1286947.1200000001</v>
      </c>
      <c r="X3" s="82">
        <f>Tabela25[[#This Row],[Soma]]-Tabela25[[#This Row],[Valor Total]]</f>
        <v>-55115.500203389674</v>
      </c>
    </row>
    <row r="4" spans="1:24" ht="30" x14ac:dyDescent="0.25">
      <c r="A4" s="106">
        <v>3</v>
      </c>
      <c r="B4" s="103" t="s">
        <v>168</v>
      </c>
      <c r="C4" s="109" t="s">
        <v>174</v>
      </c>
      <c r="D4" s="103" t="s">
        <v>151</v>
      </c>
      <c r="E4" s="103" t="s">
        <v>175</v>
      </c>
      <c r="F4" s="103" t="s">
        <v>164</v>
      </c>
      <c r="G4" s="98">
        <f t="shared" si="0"/>
        <v>48</v>
      </c>
      <c r="H4" s="99">
        <f>Tabela25[[#This Row],[Meses]]/SUM(Tabela25[Meses])</f>
        <v>7.6923076923076927E-2</v>
      </c>
      <c r="I4" s="100">
        <v>8</v>
      </c>
      <c r="J4" s="100">
        <f>Tabela25[[#This Row],[Dificuldade]]*Tabela25[[#This Row],[Tempo]]</f>
        <v>0.61538461538461542</v>
      </c>
      <c r="K4" s="101">
        <f>Tabela25[[#This Row],[Dificuldade]]/SUM(Tabela25[Dificuldade])</f>
        <v>4.519774011299435E-2</v>
      </c>
      <c r="L4" s="71" t="s">
        <v>137</v>
      </c>
      <c r="M4" s="81">
        <v>2</v>
      </c>
      <c r="N4" s="89">
        <f>Despesas!$K$4*Tabela25[[#This Row],[% Esforço]]/Tabela25[[#This Row],[Quant.]]</f>
        <v>268412.52404067793</v>
      </c>
      <c r="O4" s="89">
        <f>Tabela25[[#This Row],[V. Unit.]]*Tabela25[[#This Row],[Quant.]]</f>
        <v>536825.04808135587</v>
      </c>
      <c r="P4" s="83">
        <v>45170</v>
      </c>
      <c r="Q4" s="83">
        <v>46631</v>
      </c>
      <c r="R4" s="84">
        <f>Tabela25[[#This Row],[Encerramento]]-Tabela25[[#This Row],[Início]]</f>
        <v>1461</v>
      </c>
      <c r="S4" s="85">
        <f>IF(AND(Tabela25[[#This Row],[Início]]&lt;Despesas!$H$2,Tabela25[[#This Row],[Encerramento]]&gt;Despesas!$G$2),ROUND((MIN(Tabela25[[#This Row],[Encerramento]],Despesas!$H$2-1)-MAX(Tabela25[[#This Row],[Início]],Despesas!$G$2)+1)*Tabela25[[#This Row],[Valor Total]]/Tabela25[[#This Row],[Número de dias]],2),0)</f>
        <v>134481.84</v>
      </c>
      <c r="T4" s="86">
        <f>IF(AND(Tabela25[[#This Row],[Início]]&lt;Despesas!$I$2,Tabela25[[#This Row],[Encerramento]]&gt;Despesas!$H$2),ROUND((MIN(Tabela25[[#This Row],[Encerramento]],Despesas!$I$2-1)-MAX(Tabela25[[#This Row],[Início]],Despesas!$H$2)+1)*Tabela25[[#This Row],[Valor Total]]/Tabela25[[#This Row],[Número de dias]],2),0)</f>
        <v>134114.4</v>
      </c>
      <c r="U4" s="86">
        <f>IF(AND(Tabela25[[#This Row],[Início]]&lt;Despesas!$J$2,Tabela25[[#This Row],[Encerramento]]&gt;Despesas!$I$2),ROUND((MIN(Tabela25[[#This Row],[Encerramento]],Despesas!$J$2-1)-MAX(Tabela25[[#This Row],[Início]],Despesas!$I$2)+1)*Tabela25[[#This Row],[Valor Total]]/Tabela25[[#This Row],[Número de dias]],2),0)</f>
        <v>134114.4</v>
      </c>
      <c r="V4" s="86">
        <f>IF(AND(Tabela25[[#This Row],[Início]]&lt;Despesas!$K$2,Tabela25[[#This Row],[Encerramento]]&gt;Despesas!$J$2),ROUND((MIN(Tabela25[[#This Row],[Encerramento]],Despesas!$K$2-1)-MAX(Tabela25[[#This Row],[Início]],Despesas!$J$2)+1)*Tabela25[[#This Row],[Valor Total]]/Tabela25[[#This Row],[Número de dias]],2),0)</f>
        <v>112068.2</v>
      </c>
      <c r="W4" s="87">
        <f>SUM(Tabela25[[#This Row],[Desembolso 01]:[Desembolso 04]])</f>
        <v>514778.84</v>
      </c>
      <c r="X4" s="82">
        <f>Tabela25[[#This Row],[Soma]]-Tabela25[[#This Row],[Valor Total]]</f>
        <v>-22046.208081355842</v>
      </c>
    </row>
    <row r="5" spans="1:24" ht="45" x14ac:dyDescent="0.25">
      <c r="A5" s="106">
        <v>4</v>
      </c>
      <c r="B5" s="103" t="s">
        <v>168</v>
      </c>
      <c r="C5" s="109" t="s">
        <v>176</v>
      </c>
      <c r="D5" s="103" t="s">
        <v>151</v>
      </c>
      <c r="E5" s="103" t="s">
        <v>177</v>
      </c>
      <c r="F5" s="103" t="s">
        <v>165</v>
      </c>
      <c r="G5" s="98">
        <f t="shared" si="0"/>
        <v>48</v>
      </c>
      <c r="H5" s="99">
        <f>Tabela25[[#This Row],[Meses]]/SUM(Tabela25[Meses])</f>
        <v>7.6923076923076927E-2</v>
      </c>
      <c r="I5" s="100">
        <v>5</v>
      </c>
      <c r="J5" s="100">
        <f>Tabela25[[#This Row],[Dificuldade]]*Tabela25[[#This Row],[Tempo]]</f>
        <v>0.38461538461538464</v>
      </c>
      <c r="K5" s="101">
        <f>Tabela25[[#This Row],[Dificuldade]]/SUM(Tabela25[Dificuldade])</f>
        <v>2.8248587570621469E-2</v>
      </c>
      <c r="L5" s="71" t="s">
        <v>139</v>
      </c>
      <c r="M5" s="81">
        <v>3</v>
      </c>
      <c r="N5" s="89">
        <f>Despesas!$K$4*Tabela25[[#This Row],[% Esforço]]/Tabela25[[#This Row],[Quant.]]</f>
        <v>111838.55168361582</v>
      </c>
      <c r="O5" s="89">
        <f>Tabela25[[#This Row],[V. Unit.]]*Tabela25[[#This Row],[Quant.]]</f>
        <v>335515.65505084745</v>
      </c>
      <c r="P5" s="83">
        <v>45170</v>
      </c>
      <c r="Q5" s="83">
        <v>46631</v>
      </c>
      <c r="R5" s="84">
        <f>Tabela25[[#This Row],[Encerramento]]-Tabela25[[#This Row],[Início]]</f>
        <v>1461</v>
      </c>
      <c r="S5" s="85">
        <f>IF(AND(Tabela25[[#This Row],[Início]]&lt;Despesas!$H$2,Tabela25[[#This Row],[Encerramento]]&gt;Despesas!$G$2),ROUND((MIN(Tabela25[[#This Row],[Encerramento]],Despesas!$H$2-1)-MAX(Tabela25[[#This Row],[Início]],Despesas!$G$2)+1)*Tabela25[[#This Row],[Valor Total]]/Tabela25[[#This Row],[Número de dias]],2),0)</f>
        <v>84051.15</v>
      </c>
      <c r="T5" s="86">
        <f>IF(AND(Tabela25[[#This Row],[Início]]&lt;Despesas!$I$2,Tabela25[[#This Row],[Encerramento]]&gt;Despesas!$H$2),ROUND((MIN(Tabela25[[#This Row],[Encerramento]],Despesas!$I$2-1)-MAX(Tabela25[[#This Row],[Início]],Despesas!$H$2)+1)*Tabela25[[#This Row],[Valor Total]]/Tabela25[[#This Row],[Número de dias]],2),0)</f>
        <v>83821.5</v>
      </c>
      <c r="U5" s="86">
        <f>IF(AND(Tabela25[[#This Row],[Início]]&lt;Despesas!$J$2,Tabela25[[#This Row],[Encerramento]]&gt;Despesas!$I$2),ROUND((MIN(Tabela25[[#This Row],[Encerramento]],Despesas!$J$2-1)-MAX(Tabela25[[#This Row],[Início]],Despesas!$I$2)+1)*Tabela25[[#This Row],[Valor Total]]/Tabela25[[#This Row],[Número de dias]],2),0)</f>
        <v>83821.5</v>
      </c>
      <c r="V5" s="86">
        <f>IF(AND(Tabela25[[#This Row],[Início]]&lt;Despesas!$K$2,Tabela25[[#This Row],[Encerramento]]&gt;Despesas!$J$2),ROUND((MIN(Tabela25[[#This Row],[Encerramento]],Despesas!$K$2-1)-MAX(Tabela25[[#This Row],[Início]],Despesas!$J$2)+1)*Tabela25[[#This Row],[Valor Total]]/Tabela25[[#This Row],[Número de dias]],2),0)</f>
        <v>70042.62</v>
      </c>
      <c r="W5" s="87">
        <f>SUM(Tabela25[[#This Row],[Desembolso 01]:[Desembolso 04]])</f>
        <v>321736.77</v>
      </c>
      <c r="X5" s="82">
        <f>Tabela25[[#This Row],[Soma]]-Tabela25[[#This Row],[Valor Total]]</f>
        <v>-13778.885050847428</v>
      </c>
    </row>
    <row r="6" spans="1:24" ht="45" x14ac:dyDescent="0.25">
      <c r="A6" s="106">
        <v>5</v>
      </c>
      <c r="B6" s="103" t="s">
        <v>168</v>
      </c>
      <c r="C6" s="109" t="s">
        <v>176</v>
      </c>
      <c r="D6" s="103" t="s">
        <v>153</v>
      </c>
      <c r="E6" s="103" t="s">
        <v>178</v>
      </c>
      <c r="F6" s="103" t="s">
        <v>166</v>
      </c>
      <c r="G6" s="98">
        <f t="shared" si="0"/>
        <v>48</v>
      </c>
      <c r="H6" s="99">
        <f>Tabela25[[#This Row],[Meses]]/SUM(Tabela25[Meses])</f>
        <v>7.6923076923076927E-2</v>
      </c>
      <c r="I6" s="100">
        <v>20</v>
      </c>
      <c r="J6" s="100">
        <f>Tabela25[[#This Row],[Dificuldade]]*Tabela25[[#This Row],[Tempo]]</f>
        <v>1.5384615384615385</v>
      </c>
      <c r="K6" s="101">
        <f>Tabela25[[#This Row],[Dificuldade]]/SUM(Tabela25[Dificuldade])</f>
        <v>0.11299435028248588</v>
      </c>
      <c r="L6" s="71" t="s">
        <v>135</v>
      </c>
      <c r="M6" s="81">
        <v>1</v>
      </c>
      <c r="N6" s="89">
        <f>Despesas!$K$4*Tabela25[[#This Row],[% Esforço]]/Tabela25[[#This Row],[Quant.]]</f>
        <v>1342062.6202033898</v>
      </c>
      <c r="O6" s="89">
        <f>Tabela25[[#This Row],[V. Unit.]]*Tabela25[[#This Row],[Quant.]]</f>
        <v>1342062.6202033898</v>
      </c>
      <c r="P6" s="83">
        <v>45170</v>
      </c>
      <c r="Q6" s="83">
        <v>46631</v>
      </c>
      <c r="R6" s="84">
        <f>Tabela25[[#This Row],[Encerramento]]-Tabela25[[#This Row],[Início]]</f>
        <v>1461</v>
      </c>
      <c r="S6" s="85">
        <f>IF(AND(Tabela25[[#This Row],[Início]]&lt;Despesas!$H$2,Tabela25[[#This Row],[Encerramento]]&gt;Despesas!$G$2),ROUND((MIN(Tabela25[[#This Row],[Encerramento]],Despesas!$H$2-1)-MAX(Tabela25[[#This Row],[Início]],Despesas!$G$2)+1)*Tabela25[[#This Row],[Valor Total]]/Tabela25[[#This Row],[Número de dias]],2),0)</f>
        <v>336204.6</v>
      </c>
      <c r="T6" s="86">
        <f>IF(AND(Tabela25[[#This Row],[Início]]&lt;Despesas!$I$2,Tabela25[[#This Row],[Encerramento]]&gt;Despesas!$H$2),ROUND((MIN(Tabela25[[#This Row],[Encerramento]],Despesas!$I$2-1)-MAX(Tabela25[[#This Row],[Início]],Despesas!$H$2)+1)*Tabela25[[#This Row],[Valor Total]]/Tabela25[[#This Row],[Número de dias]],2),0)</f>
        <v>335286.01</v>
      </c>
      <c r="U6" s="86">
        <f>IF(AND(Tabela25[[#This Row],[Início]]&lt;Despesas!$J$2,Tabela25[[#This Row],[Encerramento]]&gt;Despesas!$I$2),ROUND((MIN(Tabela25[[#This Row],[Encerramento]],Despesas!$J$2-1)-MAX(Tabela25[[#This Row],[Início]],Despesas!$I$2)+1)*Tabela25[[#This Row],[Valor Total]]/Tabela25[[#This Row],[Número de dias]],2),0)</f>
        <v>335286.01</v>
      </c>
      <c r="V6" s="86">
        <f>IF(AND(Tabela25[[#This Row],[Início]]&lt;Despesas!$K$2,Tabela25[[#This Row],[Encerramento]]&gt;Despesas!$J$2),ROUND((MIN(Tabela25[[#This Row],[Encerramento]],Despesas!$K$2-1)-MAX(Tabela25[[#This Row],[Início]],Despesas!$J$2)+1)*Tabela25[[#This Row],[Valor Total]]/Tabela25[[#This Row],[Número de dias]],2),0)</f>
        <v>280170.5</v>
      </c>
      <c r="W6" s="87">
        <f>SUM(Tabela25[[#This Row],[Desembolso 01]:[Desembolso 04]])</f>
        <v>1286947.1200000001</v>
      </c>
      <c r="X6" s="82">
        <f>Tabela25[[#This Row],[Soma]]-Tabela25[[#This Row],[Valor Total]]</f>
        <v>-55115.500203389674</v>
      </c>
    </row>
    <row r="7" spans="1:24" ht="109.5" customHeight="1" x14ac:dyDescent="0.25">
      <c r="A7" s="106">
        <v>6</v>
      </c>
      <c r="B7" s="103" t="s">
        <v>168</v>
      </c>
      <c r="C7" s="109" t="s">
        <v>179</v>
      </c>
      <c r="D7" s="103" t="s">
        <v>154</v>
      </c>
      <c r="E7" s="109" t="s">
        <v>179</v>
      </c>
      <c r="F7" s="103" t="s">
        <v>180</v>
      </c>
      <c r="G7" s="98">
        <f t="shared" si="0"/>
        <v>48</v>
      </c>
      <c r="H7" s="99">
        <f>Tabela25[[#This Row],[Meses]]/SUM(Tabela25[Meses])</f>
        <v>7.6923076923076927E-2</v>
      </c>
      <c r="I7" s="100">
        <v>20</v>
      </c>
      <c r="J7" s="100">
        <f>Tabela25[[#This Row],[Dificuldade]]*Tabela25[[#This Row],[Tempo]]</f>
        <v>1.5384615384615385</v>
      </c>
      <c r="K7" s="101">
        <f>Tabela25[[#This Row],[Dificuldade]]/SUM(Tabela25[Dificuldade])</f>
        <v>0.11299435028248588</v>
      </c>
      <c r="L7" s="71" t="s">
        <v>135</v>
      </c>
      <c r="M7" s="81">
        <v>1</v>
      </c>
      <c r="N7" s="89">
        <f>Despesas!$K$4*Tabela25[[#This Row],[% Esforço]]/Tabela25[[#This Row],[Quant.]]</f>
        <v>1342062.6202033898</v>
      </c>
      <c r="O7" s="89">
        <f>Tabela25[[#This Row],[V. Unit.]]*Tabela25[[#This Row],[Quant.]]</f>
        <v>1342062.6202033898</v>
      </c>
      <c r="P7" s="83">
        <v>45170</v>
      </c>
      <c r="Q7" s="83">
        <v>46631</v>
      </c>
      <c r="R7" s="84">
        <f>Tabela25[[#This Row],[Encerramento]]-Tabela25[[#This Row],[Início]]</f>
        <v>1461</v>
      </c>
      <c r="S7" s="85">
        <f>IF(AND(Tabela25[[#This Row],[Início]]&lt;Despesas!$H$2,Tabela25[[#This Row],[Encerramento]]&gt;Despesas!$G$2),ROUND((MIN(Tabela25[[#This Row],[Encerramento]],Despesas!$H$2-1)-MAX(Tabela25[[#This Row],[Início]],Despesas!$G$2)+1)*Tabela25[[#This Row],[Valor Total]]/Tabela25[[#This Row],[Número de dias]],2),0)</f>
        <v>336204.6</v>
      </c>
      <c r="T7" s="86">
        <f>IF(AND(Tabela25[[#This Row],[Início]]&lt;Despesas!$I$2,Tabela25[[#This Row],[Encerramento]]&gt;Despesas!$H$2),ROUND((MIN(Tabela25[[#This Row],[Encerramento]],Despesas!$I$2-1)-MAX(Tabela25[[#This Row],[Início]],Despesas!$H$2)+1)*Tabela25[[#This Row],[Valor Total]]/Tabela25[[#This Row],[Número de dias]],2),0)</f>
        <v>335286.01</v>
      </c>
      <c r="U7" s="86">
        <f>IF(AND(Tabela25[[#This Row],[Início]]&lt;Despesas!$J$2,Tabela25[[#This Row],[Encerramento]]&gt;Despesas!$I$2),ROUND((MIN(Tabela25[[#This Row],[Encerramento]],Despesas!$J$2-1)-MAX(Tabela25[[#This Row],[Início]],Despesas!$I$2)+1)*Tabela25[[#This Row],[Valor Total]]/Tabela25[[#This Row],[Número de dias]],2),0)</f>
        <v>335286.01</v>
      </c>
      <c r="V7" s="86">
        <f>IF(AND(Tabela25[[#This Row],[Início]]&lt;Despesas!$K$2,Tabela25[[#This Row],[Encerramento]]&gt;Despesas!$J$2),ROUND((MIN(Tabela25[[#This Row],[Encerramento]],Despesas!$K$2-1)-MAX(Tabela25[[#This Row],[Início]],Despesas!$J$2)+1)*Tabela25[[#This Row],[Valor Total]]/Tabela25[[#This Row],[Número de dias]],2),0)</f>
        <v>280170.5</v>
      </c>
      <c r="W7" s="87">
        <f>SUM(Tabela25[[#This Row],[Desembolso 01]:[Desembolso 04]])</f>
        <v>1286947.1200000001</v>
      </c>
      <c r="X7" s="82">
        <f>Tabela25[[#This Row],[Soma]]-Tabela25[[#This Row],[Valor Total]]</f>
        <v>-55115.500203389674</v>
      </c>
    </row>
    <row r="8" spans="1:24" ht="60" x14ac:dyDescent="0.25">
      <c r="A8" s="106">
        <v>7</v>
      </c>
      <c r="B8" s="103" t="s">
        <v>168</v>
      </c>
      <c r="C8" s="109" t="s">
        <v>181</v>
      </c>
      <c r="D8" s="103" t="s">
        <v>154</v>
      </c>
      <c r="E8" s="109" t="s">
        <v>181</v>
      </c>
      <c r="F8" s="103" t="s">
        <v>182</v>
      </c>
      <c r="G8" s="98">
        <f t="shared" si="0"/>
        <v>48</v>
      </c>
      <c r="H8" s="99">
        <f>Tabela25[[#This Row],[Meses]]/SUM(Tabela25[Meses])</f>
        <v>7.6923076923076927E-2</v>
      </c>
      <c r="I8" s="100">
        <v>18</v>
      </c>
      <c r="J8" s="100">
        <f>Tabela25[[#This Row],[Dificuldade]]*Tabela25[[#This Row],[Tempo]]</f>
        <v>1.3846153846153846</v>
      </c>
      <c r="K8" s="101">
        <f>Tabela25[[#This Row],[Dificuldade]]/SUM(Tabela25[Dificuldade])</f>
        <v>0.10169491525423729</v>
      </c>
      <c r="L8" s="71" t="s">
        <v>135</v>
      </c>
      <c r="M8" s="81">
        <v>75</v>
      </c>
      <c r="N8" s="89">
        <f>Despesas!$K$4*Tabela25[[#This Row],[% Esforço]]/Tabela25[[#This Row],[Quant.]]</f>
        <v>16104.75144244068</v>
      </c>
      <c r="O8" s="89">
        <f>Tabela25[[#This Row],[V. Unit.]]*Tabela25[[#This Row],[Quant.]]</f>
        <v>1207856.358183051</v>
      </c>
      <c r="P8" s="83">
        <v>45170</v>
      </c>
      <c r="Q8" s="83">
        <v>46631</v>
      </c>
      <c r="R8" s="84">
        <f>Tabela25[[#This Row],[Encerramento]]-Tabela25[[#This Row],[Início]]</f>
        <v>1461</v>
      </c>
      <c r="S8" s="85">
        <f>IF(AND(Tabela25[[#This Row],[Início]]&lt;Despesas!$H$2,Tabela25[[#This Row],[Encerramento]]&gt;Despesas!$G$2),ROUND((MIN(Tabela25[[#This Row],[Encerramento]],Despesas!$H$2-1)-MAX(Tabela25[[#This Row],[Início]],Despesas!$G$2)+1)*Tabela25[[#This Row],[Valor Total]]/Tabela25[[#This Row],[Número de dias]],2),0)</f>
        <v>302584.14</v>
      </c>
      <c r="T8" s="86">
        <f>IF(AND(Tabela25[[#This Row],[Início]]&lt;Despesas!$I$2,Tabela25[[#This Row],[Encerramento]]&gt;Despesas!$H$2),ROUND((MIN(Tabela25[[#This Row],[Encerramento]],Despesas!$I$2-1)-MAX(Tabela25[[#This Row],[Início]],Despesas!$H$2)+1)*Tabela25[[#This Row],[Valor Total]]/Tabela25[[#This Row],[Número de dias]],2),0)</f>
        <v>301757.40999999997</v>
      </c>
      <c r="U8" s="86">
        <f>IF(AND(Tabela25[[#This Row],[Início]]&lt;Despesas!$J$2,Tabela25[[#This Row],[Encerramento]]&gt;Despesas!$I$2),ROUND((MIN(Tabela25[[#This Row],[Encerramento]],Despesas!$J$2-1)-MAX(Tabela25[[#This Row],[Início]],Despesas!$I$2)+1)*Tabela25[[#This Row],[Valor Total]]/Tabela25[[#This Row],[Número de dias]],2),0)</f>
        <v>301757.40999999997</v>
      </c>
      <c r="V8" s="86">
        <f>IF(AND(Tabela25[[#This Row],[Início]]&lt;Despesas!$K$2,Tabela25[[#This Row],[Encerramento]]&gt;Despesas!$J$2),ROUND((MIN(Tabela25[[#This Row],[Encerramento]],Despesas!$K$2-1)-MAX(Tabela25[[#This Row],[Início]],Despesas!$J$2)+1)*Tabela25[[#This Row],[Valor Total]]/Tabela25[[#This Row],[Número de dias]],2),0)</f>
        <v>252153.45</v>
      </c>
      <c r="W8" s="87">
        <f>SUM(Tabela25[[#This Row],[Desembolso 01]:[Desembolso 04]])</f>
        <v>1158252.4099999999</v>
      </c>
      <c r="X8" s="82">
        <f>Tabela25[[#This Row],[Soma]]-Tabela25[[#This Row],[Valor Total]]</f>
        <v>-49603.948183051078</v>
      </c>
    </row>
    <row r="9" spans="1:24" ht="150" x14ac:dyDescent="0.25">
      <c r="A9" s="106">
        <v>8</v>
      </c>
      <c r="B9" s="103" t="s">
        <v>183</v>
      </c>
      <c r="C9" s="109" t="s">
        <v>184</v>
      </c>
      <c r="D9" s="103" t="s">
        <v>152</v>
      </c>
      <c r="E9" s="103" t="s">
        <v>185</v>
      </c>
      <c r="F9" s="103" t="s">
        <v>186</v>
      </c>
      <c r="G9" s="98">
        <f t="shared" si="0"/>
        <v>48</v>
      </c>
      <c r="H9" s="99">
        <f>Tabela25[[#This Row],[Meses]]/SUM(Tabela25[Meses])</f>
        <v>7.6923076923076927E-2</v>
      </c>
      <c r="I9" s="100">
        <v>10</v>
      </c>
      <c r="J9" s="100">
        <f>Tabela25[[#This Row],[Dificuldade]]*Tabela25[[#This Row],[Tempo]]</f>
        <v>0.76923076923076927</v>
      </c>
      <c r="K9" s="101">
        <f>Tabela25[[#This Row],[Dificuldade]]/SUM(Tabela25[Dificuldade])</f>
        <v>5.6497175141242938E-2</v>
      </c>
      <c r="L9" s="71" t="s">
        <v>135</v>
      </c>
      <c r="M9" s="81">
        <v>1</v>
      </c>
      <c r="N9" s="89">
        <f>Despesas!$K$4*Tabela25[[#This Row],[% Esforço]]/Tabela25[[#This Row],[Quant.]]</f>
        <v>671031.31010169489</v>
      </c>
      <c r="O9" s="89">
        <f>Tabela25[[#This Row],[V. Unit.]]*Tabela25[[#This Row],[Quant.]]</f>
        <v>671031.31010169489</v>
      </c>
      <c r="P9" s="83">
        <v>45170</v>
      </c>
      <c r="Q9" s="83">
        <v>46631</v>
      </c>
      <c r="R9" s="84">
        <f>Tabela25[[#This Row],[Encerramento]]-Tabela25[[#This Row],[Início]]</f>
        <v>1461</v>
      </c>
      <c r="S9" s="85">
        <f>IF(AND(Tabela25[[#This Row],[Início]]&lt;Despesas!$H$2,Tabela25[[#This Row],[Encerramento]]&gt;Despesas!$G$2),ROUND((MIN(Tabela25[[#This Row],[Encerramento]],Despesas!$H$2-1)-MAX(Tabela25[[#This Row],[Início]],Despesas!$G$2)+1)*Tabela25[[#This Row],[Valor Total]]/Tabela25[[#This Row],[Número de dias]],2),0)</f>
        <v>168102.3</v>
      </c>
      <c r="T9" s="86">
        <f>IF(AND(Tabela25[[#This Row],[Início]]&lt;Despesas!$I$2,Tabela25[[#This Row],[Encerramento]]&gt;Despesas!$H$2),ROUND((MIN(Tabela25[[#This Row],[Encerramento]],Despesas!$I$2-1)-MAX(Tabela25[[#This Row],[Início]],Despesas!$H$2)+1)*Tabela25[[#This Row],[Valor Total]]/Tabela25[[#This Row],[Número de dias]],2),0)</f>
        <v>167643</v>
      </c>
      <c r="U9" s="86">
        <f>IF(AND(Tabela25[[#This Row],[Início]]&lt;Despesas!$J$2,Tabela25[[#This Row],[Encerramento]]&gt;Despesas!$I$2),ROUND((MIN(Tabela25[[#This Row],[Encerramento]],Despesas!$J$2-1)-MAX(Tabela25[[#This Row],[Início]],Despesas!$I$2)+1)*Tabela25[[#This Row],[Valor Total]]/Tabela25[[#This Row],[Número de dias]],2),0)</f>
        <v>167643</v>
      </c>
      <c r="V9" s="86">
        <f>IF(AND(Tabela25[[#This Row],[Início]]&lt;Despesas!$K$2,Tabela25[[#This Row],[Encerramento]]&gt;Despesas!$J$2),ROUND((MIN(Tabela25[[#This Row],[Encerramento]],Despesas!$K$2-1)-MAX(Tabela25[[#This Row],[Início]],Despesas!$J$2)+1)*Tabela25[[#This Row],[Valor Total]]/Tabela25[[#This Row],[Número de dias]],2),0)</f>
        <v>140085.25</v>
      </c>
      <c r="W9" s="87">
        <f>SUM(Tabela25[[#This Row],[Desembolso 01]:[Desembolso 04]])</f>
        <v>643473.55000000005</v>
      </c>
      <c r="X9" s="82">
        <f>Tabela25[[#This Row],[Soma]]-Tabela25[[#This Row],[Valor Total]]</f>
        <v>-27557.760101694847</v>
      </c>
    </row>
    <row r="10" spans="1:24" ht="60" x14ac:dyDescent="0.25">
      <c r="A10" s="106">
        <v>9</v>
      </c>
      <c r="B10" s="103" t="s">
        <v>183</v>
      </c>
      <c r="C10" s="109" t="s">
        <v>184</v>
      </c>
      <c r="D10" s="103" t="s">
        <v>152</v>
      </c>
      <c r="E10" s="103" t="s">
        <v>187</v>
      </c>
      <c r="F10" s="103" t="s">
        <v>189</v>
      </c>
      <c r="G10" s="98">
        <f t="shared" si="0"/>
        <v>48</v>
      </c>
      <c r="H10" s="99">
        <f>Tabela25[[#This Row],[Meses]]/SUM(Tabela25[Meses])</f>
        <v>7.6923076923076927E-2</v>
      </c>
      <c r="I10" s="100">
        <v>20</v>
      </c>
      <c r="J10" s="100">
        <f>Tabela25[[#This Row],[Dificuldade]]*Tabela25[[#This Row],[Tempo]]</f>
        <v>1.5384615384615385</v>
      </c>
      <c r="K10" s="101">
        <f>Tabela25[[#This Row],[Dificuldade]]/SUM(Tabela25[Dificuldade])</f>
        <v>0.11299435028248588</v>
      </c>
      <c r="L10" s="71" t="s">
        <v>135</v>
      </c>
      <c r="M10" s="81">
        <v>1</v>
      </c>
      <c r="N10" s="89">
        <f>Despesas!$K$4*Tabela25[[#This Row],[% Esforço]]/Tabela25[[#This Row],[Quant.]]</f>
        <v>1342062.6202033898</v>
      </c>
      <c r="O10" s="89">
        <f>Tabela25[[#This Row],[V. Unit.]]*Tabela25[[#This Row],[Quant.]]</f>
        <v>1342062.6202033898</v>
      </c>
      <c r="P10" s="83">
        <v>45170</v>
      </c>
      <c r="Q10" s="83">
        <v>46631</v>
      </c>
      <c r="R10" s="84">
        <f>Tabela25[[#This Row],[Encerramento]]-Tabela25[[#This Row],[Início]]</f>
        <v>1461</v>
      </c>
      <c r="S10" s="85">
        <f>IF(AND(Tabela25[[#This Row],[Início]]&lt;Despesas!$H$2,Tabela25[[#This Row],[Encerramento]]&gt;Despesas!$G$2),ROUND((MIN(Tabela25[[#This Row],[Encerramento]],Despesas!$H$2-1)-MAX(Tabela25[[#This Row],[Início]],Despesas!$G$2)+1)*Tabela25[[#This Row],[Valor Total]]/Tabela25[[#This Row],[Número de dias]],2),0)</f>
        <v>336204.6</v>
      </c>
      <c r="T10" s="86">
        <f>IF(AND(Tabela25[[#This Row],[Início]]&lt;Despesas!$I$2,Tabela25[[#This Row],[Encerramento]]&gt;Despesas!$H$2),ROUND((MIN(Tabela25[[#This Row],[Encerramento]],Despesas!$I$2-1)-MAX(Tabela25[[#This Row],[Início]],Despesas!$H$2)+1)*Tabela25[[#This Row],[Valor Total]]/Tabela25[[#This Row],[Número de dias]],2),0)</f>
        <v>335286.01</v>
      </c>
      <c r="U10" s="86">
        <f>IF(AND(Tabela25[[#This Row],[Início]]&lt;Despesas!$J$2,Tabela25[[#This Row],[Encerramento]]&gt;Despesas!$I$2),ROUND((MIN(Tabela25[[#This Row],[Encerramento]],Despesas!$J$2-1)-MAX(Tabela25[[#This Row],[Início]],Despesas!$I$2)+1)*Tabela25[[#This Row],[Valor Total]]/Tabela25[[#This Row],[Número de dias]],2),0)</f>
        <v>335286.01</v>
      </c>
      <c r="V10" s="86">
        <f>IF(AND(Tabela25[[#This Row],[Início]]&lt;Despesas!$K$2,Tabela25[[#This Row],[Encerramento]]&gt;Despesas!$J$2),ROUND((MIN(Tabela25[[#This Row],[Encerramento]],Despesas!$K$2-1)-MAX(Tabela25[[#This Row],[Início]],Despesas!$J$2)+1)*Tabela25[[#This Row],[Valor Total]]/Tabela25[[#This Row],[Número de dias]],2),0)</f>
        <v>280170.5</v>
      </c>
      <c r="W10" s="87">
        <f>SUM(Tabela25[[#This Row],[Desembolso 01]:[Desembolso 04]])</f>
        <v>1286947.1200000001</v>
      </c>
      <c r="X10" s="82">
        <f>Tabela25[[#This Row],[Soma]]-Tabela25[[#This Row],[Valor Total]]</f>
        <v>-55115.500203389674</v>
      </c>
    </row>
    <row r="11" spans="1:24" ht="60" x14ac:dyDescent="0.25">
      <c r="A11" s="106">
        <v>10</v>
      </c>
      <c r="B11" s="103" t="s">
        <v>183</v>
      </c>
      <c r="C11" s="109" t="s">
        <v>184</v>
      </c>
      <c r="D11" s="103" t="s">
        <v>152</v>
      </c>
      <c r="E11" s="103" t="s">
        <v>188</v>
      </c>
      <c r="F11" s="103" t="s">
        <v>150</v>
      </c>
      <c r="G11" s="98">
        <f t="shared" si="0"/>
        <v>48</v>
      </c>
      <c r="H11" s="99">
        <f>Tabela25[[#This Row],[Meses]]/SUM(Tabela25[Meses])</f>
        <v>7.6923076923076927E-2</v>
      </c>
      <c r="I11" s="100">
        <v>10</v>
      </c>
      <c r="J11" s="100">
        <f>Tabela25[[#This Row],[Dificuldade]]*Tabela25[[#This Row],[Tempo]]</f>
        <v>0.76923076923076927</v>
      </c>
      <c r="K11" s="101">
        <f>Tabela25[[#This Row],[Dificuldade]]/SUM(Tabela25[Dificuldade])</f>
        <v>5.6497175141242938E-2</v>
      </c>
      <c r="L11" s="71" t="s">
        <v>135</v>
      </c>
      <c r="M11" s="81">
        <v>1</v>
      </c>
      <c r="N11" s="89">
        <f>Despesas!$K$4*Tabela25[[#This Row],[% Esforço]]/Tabela25[[#This Row],[Quant.]]</f>
        <v>671031.31010169489</v>
      </c>
      <c r="O11" s="89">
        <f>Tabela25[[#This Row],[V. Unit.]]*Tabela25[[#This Row],[Quant.]]</f>
        <v>671031.31010169489</v>
      </c>
      <c r="P11" s="83">
        <v>45170</v>
      </c>
      <c r="Q11" s="83">
        <v>46631</v>
      </c>
      <c r="R11" s="84">
        <f>Tabela25[[#This Row],[Encerramento]]-Tabela25[[#This Row],[Início]]</f>
        <v>1461</v>
      </c>
      <c r="S11" s="85">
        <f>IF(AND(Tabela25[[#This Row],[Início]]&lt;Despesas!$H$2,Tabela25[[#This Row],[Encerramento]]&gt;Despesas!$G$2),ROUND((MIN(Tabela25[[#This Row],[Encerramento]],Despesas!$H$2-1)-MAX(Tabela25[[#This Row],[Início]],Despesas!$G$2)+1)*Tabela25[[#This Row],[Valor Total]]/Tabela25[[#This Row],[Número de dias]],2),0)</f>
        <v>168102.3</v>
      </c>
      <c r="T11" s="86">
        <f>IF(AND(Tabela25[[#This Row],[Início]]&lt;Despesas!$I$2,Tabela25[[#This Row],[Encerramento]]&gt;Despesas!$H$2),ROUND((MIN(Tabela25[[#This Row],[Encerramento]],Despesas!$I$2-1)-MAX(Tabela25[[#This Row],[Início]],Despesas!$H$2)+1)*Tabela25[[#This Row],[Valor Total]]/Tabela25[[#This Row],[Número de dias]],2),0)</f>
        <v>167643</v>
      </c>
      <c r="U11" s="86">
        <f>IF(AND(Tabela25[[#This Row],[Início]]&lt;Despesas!$J$2,Tabela25[[#This Row],[Encerramento]]&gt;Despesas!$I$2),ROUND((MIN(Tabela25[[#This Row],[Encerramento]],Despesas!$J$2-1)-MAX(Tabela25[[#This Row],[Início]],Despesas!$I$2)+1)*Tabela25[[#This Row],[Valor Total]]/Tabela25[[#This Row],[Número de dias]],2),0)</f>
        <v>167643</v>
      </c>
      <c r="V11" s="86">
        <f>IF(AND(Tabela25[[#This Row],[Início]]&lt;Despesas!$K$2,Tabela25[[#This Row],[Encerramento]]&gt;Despesas!$J$2),ROUND((MIN(Tabela25[[#This Row],[Encerramento]],Despesas!$K$2-1)-MAX(Tabela25[[#This Row],[Início]],Despesas!$J$2)+1)*Tabela25[[#This Row],[Valor Total]]/Tabela25[[#This Row],[Número de dias]],2),0)</f>
        <v>140085.25</v>
      </c>
      <c r="W11" s="87">
        <f>SUM(Tabela25[[#This Row],[Desembolso 01]:[Desembolso 04]])</f>
        <v>643473.55000000005</v>
      </c>
      <c r="X11" s="82">
        <f>Tabela25[[#This Row],[Soma]]-Tabela25[[#This Row],[Valor Total]]</f>
        <v>-27557.760101694847</v>
      </c>
    </row>
    <row r="12" spans="1:24" ht="75" x14ac:dyDescent="0.25">
      <c r="A12" s="106">
        <v>11</v>
      </c>
      <c r="B12" s="103" t="s">
        <v>183</v>
      </c>
      <c r="C12" s="103" t="s">
        <v>188</v>
      </c>
      <c r="D12" s="103" t="s">
        <v>152</v>
      </c>
      <c r="E12" s="103" t="s">
        <v>190</v>
      </c>
      <c r="F12" s="103" t="s">
        <v>191</v>
      </c>
      <c r="G12" s="98">
        <f t="shared" si="0"/>
        <v>48</v>
      </c>
      <c r="H12" s="99">
        <f>Tabela25[[#This Row],[Meses]]/SUM(Tabela25[Meses])</f>
        <v>7.6923076923076927E-2</v>
      </c>
      <c r="I12" s="100">
        <v>10</v>
      </c>
      <c r="J12" s="100">
        <f>Tabela25[[#This Row],[Dificuldade]]*Tabela25[[#This Row],[Tempo]]</f>
        <v>0.76923076923076927</v>
      </c>
      <c r="K12" s="101">
        <f>Tabela25[[#This Row],[Dificuldade]]/SUM(Tabela25[Dificuldade])</f>
        <v>5.6497175141242938E-2</v>
      </c>
      <c r="L12" s="71" t="s">
        <v>135</v>
      </c>
      <c r="M12" s="81">
        <v>1</v>
      </c>
      <c r="N12" s="89">
        <f>Despesas!$K$4*Tabela25[[#This Row],[% Esforço]]/Tabela25[[#This Row],[Quant.]]</f>
        <v>671031.31010169489</v>
      </c>
      <c r="O12" s="89">
        <f>Tabela25[[#This Row],[V. Unit.]]*Tabela25[[#This Row],[Quant.]]</f>
        <v>671031.31010169489</v>
      </c>
      <c r="P12" s="83">
        <v>45170</v>
      </c>
      <c r="Q12" s="83">
        <v>46631</v>
      </c>
      <c r="R12" s="84">
        <f>Tabela25[[#This Row],[Encerramento]]-Tabela25[[#This Row],[Início]]</f>
        <v>1461</v>
      </c>
      <c r="S12" s="85">
        <f>IF(AND(Tabela25[[#This Row],[Início]]&lt;Despesas!$H$2,Tabela25[[#This Row],[Encerramento]]&gt;Despesas!$G$2),ROUND((MIN(Tabela25[[#This Row],[Encerramento]],Despesas!$H$2-1)-MAX(Tabela25[[#This Row],[Início]],Despesas!$G$2)+1)*Tabela25[[#This Row],[Valor Total]]/Tabela25[[#This Row],[Número de dias]],2),0)</f>
        <v>168102.3</v>
      </c>
      <c r="T12" s="86">
        <f>IF(AND(Tabela25[[#This Row],[Início]]&lt;Despesas!$I$2,Tabela25[[#This Row],[Encerramento]]&gt;Despesas!$H$2),ROUND((MIN(Tabela25[[#This Row],[Encerramento]],Despesas!$I$2-1)-MAX(Tabela25[[#This Row],[Início]],Despesas!$H$2)+1)*Tabela25[[#This Row],[Valor Total]]/Tabela25[[#This Row],[Número de dias]],2),0)</f>
        <v>167643</v>
      </c>
      <c r="U12" s="86">
        <f>IF(AND(Tabela25[[#This Row],[Início]]&lt;Despesas!$J$2,Tabela25[[#This Row],[Encerramento]]&gt;Despesas!$I$2),ROUND((MIN(Tabela25[[#This Row],[Encerramento]],Despesas!$J$2-1)-MAX(Tabela25[[#This Row],[Início]],Despesas!$I$2)+1)*Tabela25[[#This Row],[Valor Total]]/Tabela25[[#This Row],[Número de dias]],2),0)</f>
        <v>167643</v>
      </c>
      <c r="V12" s="86">
        <f>IF(AND(Tabela25[[#This Row],[Início]]&lt;Despesas!$K$2,Tabela25[[#This Row],[Encerramento]]&gt;Despesas!$J$2),ROUND((MIN(Tabela25[[#This Row],[Encerramento]],Despesas!$K$2-1)-MAX(Tabela25[[#This Row],[Início]],Despesas!$J$2)+1)*Tabela25[[#This Row],[Valor Total]]/Tabela25[[#This Row],[Número de dias]],2),0)</f>
        <v>140085.25</v>
      </c>
      <c r="W12" s="87">
        <f>SUM(Tabela25[[#This Row],[Desembolso 01]:[Desembolso 04]])</f>
        <v>643473.55000000005</v>
      </c>
      <c r="X12" s="82">
        <f>Tabela25[[#This Row],[Soma]]-Tabela25[[#This Row],[Valor Total]]</f>
        <v>-27557.760101694847</v>
      </c>
    </row>
    <row r="13" spans="1:24" ht="75" x14ac:dyDescent="0.25">
      <c r="A13" s="106">
        <v>12</v>
      </c>
      <c r="B13" s="103" t="s">
        <v>183</v>
      </c>
      <c r="C13" s="103" t="s">
        <v>188</v>
      </c>
      <c r="D13" s="103" t="s">
        <v>152</v>
      </c>
      <c r="E13" s="103" t="s">
        <v>192</v>
      </c>
      <c r="F13" s="103" t="s">
        <v>193</v>
      </c>
      <c r="G13" s="98">
        <f t="shared" si="0"/>
        <v>48</v>
      </c>
      <c r="H13" s="99">
        <f>Tabela25[[#This Row],[Meses]]/SUM(Tabela25[Meses])</f>
        <v>7.6923076923076927E-2</v>
      </c>
      <c r="I13" s="100">
        <v>9</v>
      </c>
      <c r="J13" s="100">
        <f>Tabela25[[#This Row],[Dificuldade]]*Tabela25[[#This Row],[Tempo]]</f>
        <v>0.69230769230769229</v>
      </c>
      <c r="K13" s="101">
        <f>Tabela25[[#This Row],[Dificuldade]]/SUM(Tabela25[Dificuldade])</f>
        <v>5.0847457627118647E-2</v>
      </c>
      <c r="L13" s="71" t="s">
        <v>135</v>
      </c>
      <c r="M13" s="81">
        <v>1</v>
      </c>
      <c r="N13" s="89">
        <f>Despesas!$K$4*Tabela25[[#This Row],[% Esforço]]/Tabela25[[#This Row],[Quant.]]</f>
        <v>603928.1790915255</v>
      </c>
      <c r="O13" s="89">
        <f>Tabela25[[#This Row],[V. Unit.]]*Tabela25[[#This Row],[Quant.]]</f>
        <v>603928.1790915255</v>
      </c>
      <c r="P13" s="83">
        <v>45170</v>
      </c>
      <c r="Q13" s="83">
        <v>46631</v>
      </c>
      <c r="R13" s="84">
        <f>Tabela25[[#This Row],[Encerramento]]-Tabela25[[#This Row],[Início]]</f>
        <v>1461</v>
      </c>
      <c r="S13" s="85">
        <f>IF(AND(Tabela25[[#This Row],[Início]]&lt;Despesas!$H$2,Tabela25[[#This Row],[Encerramento]]&gt;Despesas!$G$2),ROUND((MIN(Tabela25[[#This Row],[Encerramento]],Despesas!$H$2-1)-MAX(Tabela25[[#This Row],[Início]],Despesas!$G$2)+1)*Tabela25[[#This Row],[Valor Total]]/Tabela25[[#This Row],[Número de dias]],2),0)</f>
        <v>151292.07</v>
      </c>
      <c r="T13" s="86">
        <f>IF(AND(Tabela25[[#This Row],[Início]]&lt;Despesas!$I$2,Tabela25[[#This Row],[Encerramento]]&gt;Despesas!$H$2),ROUND((MIN(Tabela25[[#This Row],[Encerramento]],Despesas!$I$2-1)-MAX(Tabela25[[#This Row],[Início]],Despesas!$H$2)+1)*Tabela25[[#This Row],[Valor Total]]/Tabela25[[#This Row],[Número de dias]],2),0)</f>
        <v>150878.70000000001</v>
      </c>
      <c r="U13" s="86">
        <f>IF(AND(Tabela25[[#This Row],[Início]]&lt;Despesas!$J$2,Tabela25[[#This Row],[Encerramento]]&gt;Despesas!$I$2),ROUND((MIN(Tabela25[[#This Row],[Encerramento]],Despesas!$J$2-1)-MAX(Tabela25[[#This Row],[Início]],Despesas!$I$2)+1)*Tabela25[[#This Row],[Valor Total]]/Tabela25[[#This Row],[Número de dias]],2),0)</f>
        <v>150878.70000000001</v>
      </c>
      <c r="V13" s="86">
        <f>IF(AND(Tabela25[[#This Row],[Início]]&lt;Despesas!$K$2,Tabela25[[#This Row],[Encerramento]]&gt;Despesas!$J$2),ROUND((MIN(Tabela25[[#This Row],[Encerramento]],Despesas!$K$2-1)-MAX(Tabela25[[#This Row],[Início]],Despesas!$J$2)+1)*Tabela25[[#This Row],[Valor Total]]/Tabela25[[#This Row],[Número de dias]],2),0)</f>
        <v>126076.72</v>
      </c>
      <c r="W13" s="87">
        <f>SUM(Tabela25[[#This Row],[Desembolso 01]:[Desembolso 04]])</f>
        <v>579126.19000000006</v>
      </c>
      <c r="X13" s="82">
        <f>Tabela25[[#This Row],[Soma]]-Tabela25[[#This Row],[Valor Total]]</f>
        <v>-24801.989091525436</v>
      </c>
    </row>
    <row r="14" spans="1:24" ht="105" x14ac:dyDescent="0.25">
      <c r="A14" s="106">
        <v>13</v>
      </c>
      <c r="B14" s="103" t="s">
        <v>183</v>
      </c>
      <c r="C14" s="103" t="s">
        <v>194</v>
      </c>
      <c r="D14" s="103" t="s">
        <v>151</v>
      </c>
      <c r="E14" s="103" t="s">
        <v>195</v>
      </c>
      <c r="F14" s="103" t="s">
        <v>196</v>
      </c>
      <c r="G14" s="98">
        <f t="shared" si="0"/>
        <v>48</v>
      </c>
      <c r="H14" s="99">
        <f>Tabela25[[#This Row],[Meses]]/SUM(Tabela25[Meses])</f>
        <v>7.6923076923076927E-2</v>
      </c>
      <c r="I14" s="100">
        <v>7</v>
      </c>
      <c r="J14" s="100">
        <f>Tabela25[[#This Row],[Dificuldade]]*Tabela25[[#This Row],[Tempo]]</f>
        <v>0.53846153846153855</v>
      </c>
      <c r="K14" s="101">
        <f>Tabela25[[#This Row],[Dificuldade]]/SUM(Tabela25[Dificuldade])</f>
        <v>3.954802259887006E-2</v>
      </c>
      <c r="L14" s="71" t="s">
        <v>136</v>
      </c>
      <c r="M14" s="81">
        <v>10</v>
      </c>
      <c r="N14" s="89">
        <f>Despesas!$K$4*Tabela25[[#This Row],[% Esforço]]/Tabela25[[#This Row],[Quant.]]</f>
        <v>46972.191707118647</v>
      </c>
      <c r="O14" s="89">
        <f>Tabela25[[#This Row],[V. Unit.]]*Tabela25[[#This Row],[Quant.]]</f>
        <v>469721.91707118647</v>
      </c>
      <c r="P14" s="83">
        <v>45170</v>
      </c>
      <c r="Q14" s="83">
        <v>46631</v>
      </c>
      <c r="R14" s="84">
        <f>Tabela25[[#This Row],[Encerramento]]-Tabela25[[#This Row],[Início]]</f>
        <v>1461</v>
      </c>
      <c r="S14" s="85">
        <f>IF(AND(Tabela25[[#This Row],[Início]]&lt;Despesas!$H$2,Tabela25[[#This Row],[Encerramento]]&gt;Despesas!$G$2),ROUND((MIN(Tabela25[[#This Row],[Encerramento]],Despesas!$H$2-1)-MAX(Tabela25[[#This Row],[Início]],Despesas!$G$2)+1)*Tabela25[[#This Row],[Valor Total]]/Tabela25[[#This Row],[Número de dias]],2),0)</f>
        <v>117671.61</v>
      </c>
      <c r="T14" s="86">
        <f>IF(AND(Tabela25[[#This Row],[Início]]&lt;Despesas!$I$2,Tabela25[[#This Row],[Encerramento]]&gt;Despesas!$H$2),ROUND((MIN(Tabela25[[#This Row],[Encerramento]],Despesas!$I$2-1)-MAX(Tabela25[[#This Row],[Início]],Despesas!$H$2)+1)*Tabela25[[#This Row],[Valor Total]]/Tabela25[[#This Row],[Número de dias]],2),0)</f>
        <v>117350.1</v>
      </c>
      <c r="U14" s="86">
        <f>IF(AND(Tabela25[[#This Row],[Início]]&lt;Despesas!$J$2,Tabela25[[#This Row],[Encerramento]]&gt;Despesas!$I$2),ROUND((MIN(Tabela25[[#This Row],[Encerramento]],Despesas!$J$2-1)-MAX(Tabela25[[#This Row],[Início]],Despesas!$I$2)+1)*Tabela25[[#This Row],[Valor Total]]/Tabela25[[#This Row],[Número de dias]],2),0)</f>
        <v>117350.1</v>
      </c>
      <c r="V14" s="86">
        <f>IF(AND(Tabela25[[#This Row],[Início]]&lt;Despesas!$K$2,Tabela25[[#This Row],[Encerramento]]&gt;Despesas!$J$2),ROUND((MIN(Tabela25[[#This Row],[Encerramento]],Despesas!$K$2-1)-MAX(Tabela25[[#This Row],[Início]],Despesas!$J$2)+1)*Tabela25[[#This Row],[Valor Total]]/Tabela25[[#This Row],[Número de dias]],2),0)</f>
        <v>98059.67</v>
      </c>
      <c r="W14" s="87">
        <f>SUM(Tabela25[[#This Row],[Desembolso 01]:[Desembolso 04]])</f>
        <v>450431.48000000004</v>
      </c>
      <c r="X14" s="82">
        <f>Tabela25[[#This Row],[Soma]]-Tabela25[[#This Row],[Valor Total]]</f>
        <v>-19290.437071186432</v>
      </c>
    </row>
    <row r="15" spans="1:24" ht="105" x14ac:dyDescent="0.25">
      <c r="A15" s="106">
        <v>14</v>
      </c>
      <c r="B15" s="103" t="s">
        <v>183</v>
      </c>
      <c r="C15" s="103" t="s">
        <v>194</v>
      </c>
      <c r="D15" s="103" t="s">
        <v>151</v>
      </c>
      <c r="E15" s="103" t="s">
        <v>197</v>
      </c>
      <c r="F15" s="103" t="s">
        <v>198</v>
      </c>
      <c r="G15" s="98">
        <f t="shared" si="0"/>
        <v>48</v>
      </c>
      <c r="H15" s="99" t="e">
        <f>Tabela25[[#This Row],[Meses]]/SUM(Tabela25[Meses])</f>
        <v>#VALUE!</v>
      </c>
      <c r="I15" s="100">
        <v>7</v>
      </c>
      <c r="J15" s="100" t="e">
        <f>Tabela25[[#This Row],[Dificuldade]]*Tabela25[[#This Row],[Tempo]]</f>
        <v>#VALUE!</v>
      </c>
      <c r="K15" s="101" t="e">
        <f>Tabela25[[#This Row],[Dificuldade]]/SUM(Tabela25[Dificuldade])</f>
        <v>#VALUE!</v>
      </c>
      <c r="L15" s="71" t="s">
        <v>136</v>
      </c>
      <c r="M15" s="81">
        <v>10</v>
      </c>
      <c r="N15" s="89" t="e">
        <f>Despesas!$K$4*Tabela25[[#This Row],[% Esforço]]/Tabela25[[#This Row],[Quant.]]</f>
        <v>#VALUE!</v>
      </c>
      <c r="O15" s="89" t="e">
        <f>Tabela25[[#This Row],[V. Unit.]]*Tabela25[[#This Row],[Quant.]]</f>
        <v>#VALUE!</v>
      </c>
      <c r="P15" s="83">
        <v>45170</v>
      </c>
      <c r="Q15" s="83">
        <v>46631</v>
      </c>
      <c r="R15" s="84" t="e">
        <f>Tabela25[[#This Row],[Encerramento]]-Tabela25[[#This Row],[Início]]</f>
        <v>#VALUE!</v>
      </c>
      <c r="S15" s="85" t="e">
        <f>IF(AND(Tabela25[[#This Row],[Início]]&lt;Despesas!$H$2,Tabela25[[#This Row],[Encerramento]]&gt;Despesas!$G$2),ROUND((MIN(Tabela25[[#This Row],[Encerramento]],Despesas!$H$2-1)-MAX(Tabela25[[#This Row],[Início]],Despesas!$G$2)+1)*Tabela25[[#This Row],[Valor Total]]/Tabela25[[#This Row],[Número de dias]],2),0)</f>
        <v>#VALUE!</v>
      </c>
      <c r="T15" s="86" t="e">
        <f>IF(AND(Tabela25[[#This Row],[Início]]&lt;Despesas!$I$2,Tabela25[[#This Row],[Encerramento]]&gt;Despesas!$H$2),ROUND((MIN(Tabela25[[#This Row],[Encerramento]],Despesas!$I$2-1)-MAX(Tabela25[[#This Row],[Início]],Despesas!$H$2)+1)*Tabela25[[#This Row],[Valor Total]]/Tabela25[[#This Row],[Número de dias]],2),0)</f>
        <v>#VALUE!</v>
      </c>
      <c r="U15" s="86" t="e">
        <f>IF(AND(Tabela25[[#This Row],[Início]]&lt;Despesas!$J$2,Tabela25[[#This Row],[Encerramento]]&gt;Despesas!$I$2),ROUND((MIN(Tabela25[[#This Row],[Encerramento]],Despesas!$J$2-1)-MAX(Tabela25[[#This Row],[Início]],Despesas!$I$2)+1)*Tabela25[[#This Row],[Valor Total]]/Tabela25[[#This Row],[Número de dias]],2),0)</f>
        <v>#VALUE!</v>
      </c>
      <c r="V15" s="86" t="e">
        <f>IF(AND(Tabela25[[#This Row],[Início]]&lt;Despesas!$K$2,Tabela25[[#This Row],[Encerramento]]&gt;Despesas!$J$2),ROUND((MIN(Tabela25[[#This Row],[Encerramento]],Despesas!$K$2-1)-MAX(Tabela25[[#This Row],[Início]],Despesas!$J$2)+1)*Tabela25[[#This Row],[Valor Total]]/Tabela25[[#This Row],[Número de dias]],2),0)</f>
        <v>#VALUE!</v>
      </c>
      <c r="W15" s="87" t="e">
        <f>SUM(Tabela25[[#This Row],[Desembolso 01]:[Desembolso 04]])</f>
        <v>#VALUE!</v>
      </c>
      <c r="X15" s="82" t="e">
        <f>Tabela25[[#This Row],[Soma]]-Tabela25[[#This Row],[Valor Total]]</f>
        <v>#VALUE!</v>
      </c>
    </row>
  </sheetData>
  <pageMargins left="0.511811024" right="0.511811024" top="0.78740157499999996" bottom="0.78740157499999996" header="0.31496062000000002" footer="0.31496062000000002"/>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301C-6132-4AAE-8236-E43B4756C05D}">
  <dimension ref="A1:F8"/>
  <sheetViews>
    <sheetView zoomScaleNormal="100" workbookViewId="0">
      <selection sqref="A1:F8"/>
    </sheetView>
  </sheetViews>
  <sheetFormatPr defaultColWidth="9.140625" defaultRowHeight="15" x14ac:dyDescent="0.25"/>
  <cols>
    <col min="1" max="1" width="49.42578125" style="34" bestFit="1" customWidth="1"/>
    <col min="2" max="5" width="31.85546875" style="34" customWidth="1"/>
    <col min="6" max="6" width="16.42578125" style="34" bestFit="1" customWidth="1"/>
    <col min="7" max="16384" width="9.140625" style="34"/>
  </cols>
  <sheetData>
    <row r="1" spans="1:6" ht="15.75" thickBot="1" x14ac:dyDescent="0.3">
      <c r="A1" s="74" t="s">
        <v>49</v>
      </c>
      <c r="B1" s="74" t="str">
        <f>CONCATENATE(Despesas!G1," (",TEXT(Despesas!G2,"dd/mm/aaaa"),")")</f>
        <v>Desembolso 01 (01/11/2023)</v>
      </c>
      <c r="C1" s="74" t="str">
        <f>CONCATENATE(Despesas!H1," (",TEXT(Despesas!H2,"dd/mm/aaaa"),")")</f>
        <v>Desembolso 02 (01/11/2024)</v>
      </c>
      <c r="D1" s="74" t="str">
        <f>CONCATENATE(Despesas!I1," (",TEXT(Despesas!I2,"dd/mm/aaaa"),")")</f>
        <v>Desembolso 03 (01/11/2025)</v>
      </c>
      <c r="E1" s="74" t="str">
        <f>CONCATENATE(Despesas!J1," (",TEXT(Despesas!J2,"dd/mm/aaaa"),")")</f>
        <v>Desembolso 04 (01/11/2026)</v>
      </c>
      <c r="F1" s="74" t="s">
        <v>9</v>
      </c>
    </row>
    <row r="2" spans="1:6" ht="15.75" thickBot="1" x14ac:dyDescent="0.3">
      <c r="A2" s="75" t="s">
        <v>102</v>
      </c>
      <c r="B2" s="76">
        <f>SUM(B3:B7)</f>
        <v>2969313.5471999999</v>
      </c>
      <c r="C2" s="76">
        <f t="shared" ref="C2:F2" si="0">SUM(C3:C7)</f>
        <v>2969313.5471999999</v>
      </c>
      <c r="D2" s="76">
        <f t="shared" si="0"/>
        <v>2969313.5471999999</v>
      </c>
      <c r="E2" s="76">
        <f t="shared" si="0"/>
        <v>2969313.5471999999</v>
      </c>
      <c r="F2" s="76">
        <f t="shared" si="0"/>
        <v>11877254.1888</v>
      </c>
    </row>
    <row r="3" spans="1:6" x14ac:dyDescent="0.25">
      <c r="A3" s="80" t="str">
        <f>Despesas!B5</f>
        <v>Bolsas de Pesquisa</v>
      </c>
      <c r="B3" s="77">
        <f>Despesas!G5</f>
        <v>2018600</v>
      </c>
      <c r="C3" s="77">
        <f>Despesas!H5</f>
        <v>2018600</v>
      </c>
      <c r="D3" s="77">
        <f>Despesas!I5</f>
        <v>2018600</v>
      </c>
      <c r="E3" s="77">
        <f>Despesas!J5</f>
        <v>2018600</v>
      </c>
      <c r="F3" s="77">
        <f t="shared" ref="F3:F8" si="1">SUM(B3:E3)</f>
        <v>8074400</v>
      </c>
    </row>
    <row r="4" spans="1:6" x14ac:dyDescent="0.25">
      <c r="A4" s="80" t="str">
        <f>Despesas!B16</f>
        <v>Serviços de terceiros pessoa jurídica</v>
      </c>
      <c r="B4" s="77">
        <f>Despesas!G16</f>
        <v>291500</v>
      </c>
      <c r="C4" s="77">
        <f>Despesas!H16</f>
        <v>291500</v>
      </c>
      <c r="D4" s="77">
        <f>Despesas!I16</f>
        <v>291500</v>
      </c>
      <c r="E4" s="77">
        <f>Despesas!J16</f>
        <v>291500</v>
      </c>
      <c r="F4" s="77">
        <f t="shared" si="1"/>
        <v>1166000</v>
      </c>
    </row>
    <row r="5" spans="1:6" x14ac:dyDescent="0.25">
      <c r="A5" s="80" t="str">
        <f>Despesas!B25</f>
        <v>Auxílio financeiro ao pesquisador</v>
      </c>
      <c r="B5" s="77">
        <f>Despesas!G25</f>
        <v>220000</v>
      </c>
      <c r="C5" s="77">
        <f>Despesas!H25</f>
        <v>220000</v>
      </c>
      <c r="D5" s="77">
        <f>Despesas!I25</f>
        <v>220000</v>
      </c>
      <c r="E5" s="77">
        <f>Despesas!J25</f>
        <v>220000</v>
      </c>
      <c r="F5" s="77">
        <f t="shared" si="1"/>
        <v>880000</v>
      </c>
    </row>
    <row r="6" spans="1:6" x14ac:dyDescent="0.25">
      <c r="A6" s="80" t="str">
        <f>Despesas!B27</f>
        <v>Despesas de Deslocamento</v>
      </c>
      <c r="B6" s="77">
        <f>Despesas!G27</f>
        <v>121072.81</v>
      </c>
      <c r="C6" s="77">
        <f>Despesas!H27</f>
        <v>121072.81</v>
      </c>
      <c r="D6" s="77">
        <f>Despesas!I27</f>
        <v>121072.81</v>
      </c>
      <c r="E6" s="77">
        <f>Despesas!J27</f>
        <v>121072.81</v>
      </c>
      <c r="F6" s="77">
        <f t="shared" si="1"/>
        <v>484291.24</v>
      </c>
    </row>
    <row r="7" spans="1:6" ht="15.75" thickBot="1" x14ac:dyDescent="0.3">
      <c r="A7" s="80" t="str">
        <f>Despesas!B36</f>
        <v>Despesas Operacionais e Administrativas do Projeto</v>
      </c>
      <c r="B7" s="77">
        <f>Despesas!G36</f>
        <v>318140.73719999997</v>
      </c>
      <c r="C7" s="77">
        <f>Despesas!H36</f>
        <v>318140.73719999997</v>
      </c>
      <c r="D7" s="77">
        <f>Despesas!I36</f>
        <v>318140.73719999997</v>
      </c>
      <c r="E7" s="77">
        <f>Despesas!J36</f>
        <v>318140.73719999997</v>
      </c>
      <c r="F7" s="77">
        <f t="shared" si="1"/>
        <v>1272562.9487999999</v>
      </c>
    </row>
    <row r="8" spans="1:6" x14ac:dyDescent="0.25">
      <c r="A8" s="78" t="s">
        <v>101</v>
      </c>
      <c r="B8" s="79">
        <f>SUM(B2)</f>
        <v>2969313.5471999999</v>
      </c>
      <c r="C8" s="79">
        <f t="shared" ref="C8:E8" si="2">SUM(C2)</f>
        <v>2969313.5471999999</v>
      </c>
      <c r="D8" s="79">
        <f t="shared" si="2"/>
        <v>2969313.5471999999</v>
      </c>
      <c r="E8" s="79">
        <f t="shared" si="2"/>
        <v>2969313.5471999999</v>
      </c>
      <c r="F8" s="79">
        <f t="shared" si="1"/>
        <v>11877254.1888</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FBF4D-D853-457E-81D6-2B744A0035A5}">
  <sheetPr>
    <pageSetUpPr fitToPage="1"/>
  </sheetPr>
  <dimension ref="A1:V48"/>
  <sheetViews>
    <sheetView zoomScale="85" zoomScaleNormal="85" workbookViewId="0">
      <pane ySplit="2" topLeftCell="A9" activePane="bottomLeft" state="frozen"/>
      <selection pane="bottomLeft" activeCell="W25" sqref="W25"/>
    </sheetView>
  </sheetViews>
  <sheetFormatPr defaultColWidth="8.7109375" defaultRowHeight="15" x14ac:dyDescent="0.25"/>
  <cols>
    <col min="1" max="1" width="5.140625" style="26" bestFit="1" customWidth="1"/>
    <col min="2" max="2" width="74.42578125" style="27" customWidth="1"/>
    <col min="3" max="3" width="13.28515625" style="23" customWidth="1"/>
    <col min="4" max="5" width="7" style="1" customWidth="1"/>
    <col min="6" max="6" width="11.7109375" style="28" customWidth="1"/>
    <col min="7" max="9" width="13.42578125" style="28" customWidth="1"/>
    <col min="10" max="10" width="12.28515625" style="1" hidden="1" customWidth="1"/>
    <col min="11" max="11" width="13.140625" style="1" hidden="1" customWidth="1"/>
    <col min="12" max="12" width="10.5703125" style="1" hidden="1" customWidth="1"/>
    <col min="13" max="13" width="6.42578125" style="1" hidden="1" customWidth="1"/>
    <col min="14" max="14" width="12.7109375" style="1" hidden="1" customWidth="1"/>
    <col min="15" max="15" width="8.85546875" style="1" hidden="1" customWidth="1"/>
    <col min="16" max="16" width="12.85546875" style="1" hidden="1" customWidth="1"/>
    <col min="17" max="17" width="9.42578125" style="1" hidden="1" customWidth="1"/>
    <col min="18" max="18" width="14.140625" style="1" hidden="1" customWidth="1"/>
    <col min="19" max="19" width="13.7109375" style="1" hidden="1" customWidth="1"/>
    <col min="20" max="20" width="12.85546875" style="1" hidden="1" customWidth="1"/>
    <col min="21" max="21" width="10.85546875" style="1" customWidth="1"/>
    <col min="22" max="22" width="11.85546875" style="1" bestFit="1" customWidth="1"/>
    <col min="23" max="16384" width="8.7109375" style="1"/>
  </cols>
  <sheetData>
    <row r="1" spans="1:9" x14ac:dyDescent="0.25">
      <c r="A1" s="2"/>
      <c r="B1" s="3"/>
      <c r="C1" s="4"/>
      <c r="D1" s="5"/>
      <c r="E1" s="6"/>
      <c r="F1" s="7" t="s">
        <v>98</v>
      </c>
      <c r="G1" s="7" t="s">
        <v>99</v>
      </c>
      <c r="H1" s="7" t="s">
        <v>100</v>
      </c>
      <c r="I1" s="7" t="s">
        <v>9</v>
      </c>
    </row>
    <row r="2" spans="1:9" x14ac:dyDescent="0.25">
      <c r="A2" s="2" t="s">
        <v>2</v>
      </c>
      <c r="B2" s="3" t="s">
        <v>49</v>
      </c>
      <c r="C2" s="4"/>
      <c r="D2" s="5"/>
      <c r="E2" s="6" t="s">
        <v>9</v>
      </c>
      <c r="F2" s="7">
        <f>SUM(F3,F13,F26,F36,F45)</f>
        <v>750810.64319999993</v>
      </c>
      <c r="G2" s="7">
        <f>SUM(G3,G13,G26,G36,G45)</f>
        <v>2385842.3424</v>
      </c>
      <c r="H2" s="7">
        <f>SUM(H3,H13,H26,H36,H45)</f>
        <v>1067182.1712</v>
      </c>
      <c r="I2" s="7">
        <f>SUM(I3,I13,I26,I36,I45)</f>
        <v>4203835.1568</v>
      </c>
    </row>
    <row r="3" spans="1:9" x14ac:dyDescent="0.25">
      <c r="A3" s="8">
        <v>1</v>
      </c>
      <c r="B3" s="29" t="s">
        <v>31</v>
      </c>
      <c r="C3" s="9" t="s">
        <v>14</v>
      </c>
      <c r="D3" s="10" t="s">
        <v>0</v>
      </c>
      <c r="E3" s="10" t="s">
        <v>1</v>
      </c>
      <c r="F3" s="11">
        <f>SUM(F4)</f>
        <v>255600</v>
      </c>
      <c r="G3" s="11">
        <f t="shared" ref="G3:H3" si="0">SUM(G4)</f>
        <v>810000</v>
      </c>
      <c r="H3" s="11">
        <f t="shared" si="0"/>
        <v>405000</v>
      </c>
      <c r="I3" s="11">
        <f>SUM(I4)</f>
        <v>1470600</v>
      </c>
    </row>
    <row r="4" spans="1:9" x14ac:dyDescent="0.25">
      <c r="A4" s="12" t="s">
        <v>3</v>
      </c>
      <c r="B4" s="30" t="s">
        <v>55</v>
      </c>
      <c r="C4" s="13"/>
      <c r="D4" s="14"/>
      <c r="E4" s="14"/>
      <c r="F4" s="15">
        <f>SUM(F5:F12)</f>
        <v>255600</v>
      </c>
      <c r="G4" s="15">
        <f t="shared" ref="G4:H4" si="1">SUM(G5:G12)</f>
        <v>810000</v>
      </c>
      <c r="H4" s="15">
        <f t="shared" si="1"/>
        <v>405000</v>
      </c>
      <c r="I4" s="15">
        <f>SUM(I5:I12)</f>
        <v>1470600</v>
      </c>
    </row>
    <row r="5" spans="1:9" ht="30" x14ac:dyDescent="0.25">
      <c r="A5" s="16" t="s">
        <v>62</v>
      </c>
      <c r="B5" s="31" t="s">
        <v>25</v>
      </c>
      <c r="C5" s="17">
        <v>12500</v>
      </c>
      <c r="D5" s="17">
        <v>24</v>
      </c>
      <c r="E5" s="17">
        <v>1</v>
      </c>
      <c r="F5" s="18">
        <f>$C5*$E5*6</f>
        <v>75000</v>
      </c>
      <c r="G5" s="18">
        <f>$C5*$E5*12</f>
        <v>150000</v>
      </c>
      <c r="H5" s="18">
        <f t="shared" ref="H5:H12" si="2">$C5*$E5*6</f>
        <v>75000</v>
      </c>
      <c r="I5" s="18">
        <f t="shared" ref="I5:I47" si="3">SUM(F5:H5)</f>
        <v>300000</v>
      </c>
    </row>
    <row r="6" spans="1:9" ht="30" x14ac:dyDescent="0.25">
      <c r="A6" s="16" t="s">
        <v>64</v>
      </c>
      <c r="B6" s="31" t="s">
        <v>44</v>
      </c>
      <c r="C6" s="17">
        <v>8400</v>
      </c>
      <c r="D6" s="17">
        <v>18</v>
      </c>
      <c r="E6" s="17">
        <v>1</v>
      </c>
      <c r="F6" s="18">
        <v>0</v>
      </c>
      <c r="G6" s="18">
        <f>$C6*$E6*12</f>
        <v>100800</v>
      </c>
      <c r="H6" s="18">
        <f t="shared" si="2"/>
        <v>50400</v>
      </c>
      <c r="I6" s="18">
        <f t="shared" si="3"/>
        <v>151200</v>
      </c>
    </row>
    <row r="7" spans="1:9" ht="30" x14ac:dyDescent="0.25">
      <c r="A7" s="16" t="s">
        <v>65</v>
      </c>
      <c r="B7" s="31" t="s">
        <v>23</v>
      </c>
      <c r="C7" s="17">
        <v>4500</v>
      </c>
      <c r="D7" s="17">
        <v>24</v>
      </c>
      <c r="E7" s="17">
        <v>3</v>
      </c>
      <c r="F7" s="18">
        <f>$C7*$E7*6</f>
        <v>81000</v>
      </c>
      <c r="G7" s="18">
        <f>$C7*$E7*12</f>
        <v>162000</v>
      </c>
      <c r="H7" s="18">
        <f t="shared" si="2"/>
        <v>81000</v>
      </c>
      <c r="I7" s="18">
        <f t="shared" si="3"/>
        <v>324000</v>
      </c>
    </row>
    <row r="8" spans="1:9" ht="30" x14ac:dyDescent="0.25">
      <c r="A8" s="16" t="s">
        <v>66</v>
      </c>
      <c r="B8" s="31" t="s">
        <v>23</v>
      </c>
      <c r="C8" s="17">
        <v>4500</v>
      </c>
      <c r="D8" s="17">
        <v>18</v>
      </c>
      <c r="E8" s="17">
        <v>2</v>
      </c>
      <c r="F8" s="18">
        <v>0</v>
      </c>
      <c r="G8" s="18">
        <f>E8*C8*12</f>
        <v>108000</v>
      </c>
      <c r="H8" s="18">
        <f>E8*C8*6</f>
        <v>54000</v>
      </c>
      <c r="I8" s="18">
        <f t="shared" si="3"/>
        <v>162000</v>
      </c>
    </row>
    <row r="9" spans="1:9" ht="30" x14ac:dyDescent="0.25">
      <c r="A9" s="16" t="s">
        <v>67</v>
      </c>
      <c r="B9" s="31" t="s">
        <v>24</v>
      </c>
      <c r="C9" s="17">
        <v>4500</v>
      </c>
      <c r="D9" s="17">
        <v>24</v>
      </c>
      <c r="E9" s="17">
        <v>1</v>
      </c>
      <c r="F9" s="18">
        <f>$C9*$E9*6</f>
        <v>27000</v>
      </c>
      <c r="G9" s="18">
        <f>$C9*$E9*12</f>
        <v>54000</v>
      </c>
      <c r="H9" s="18">
        <f t="shared" si="2"/>
        <v>27000</v>
      </c>
      <c r="I9" s="18">
        <f t="shared" si="3"/>
        <v>108000</v>
      </c>
    </row>
    <row r="10" spans="1:9" ht="30" x14ac:dyDescent="0.25">
      <c r="A10" s="16" t="s">
        <v>68</v>
      </c>
      <c r="B10" s="31" t="s">
        <v>21</v>
      </c>
      <c r="C10" s="17">
        <v>2300</v>
      </c>
      <c r="D10" s="17">
        <v>24</v>
      </c>
      <c r="E10" s="17">
        <v>2</v>
      </c>
      <c r="F10" s="18">
        <f>$C10*$E10*6</f>
        <v>27600</v>
      </c>
      <c r="G10" s="18">
        <f>$C10*$E10*12</f>
        <v>55200</v>
      </c>
      <c r="H10" s="18">
        <f t="shared" si="2"/>
        <v>27600</v>
      </c>
      <c r="I10" s="18">
        <f t="shared" si="3"/>
        <v>110400</v>
      </c>
    </row>
    <row r="11" spans="1:9" ht="30" x14ac:dyDescent="0.25">
      <c r="A11" s="16" t="s">
        <v>69</v>
      </c>
      <c r="B11" s="31" t="s">
        <v>22</v>
      </c>
      <c r="C11" s="17">
        <v>750</v>
      </c>
      <c r="D11" s="17">
        <v>24</v>
      </c>
      <c r="E11" s="17">
        <v>10</v>
      </c>
      <c r="F11" s="18">
        <f t="shared" ref="F11" si="4">$C11*$E11*6</f>
        <v>45000</v>
      </c>
      <c r="G11" s="18">
        <f t="shared" ref="G11:G12" si="5">$C11*$E11*12</f>
        <v>90000</v>
      </c>
      <c r="H11" s="18">
        <f t="shared" si="2"/>
        <v>45000</v>
      </c>
      <c r="I11" s="18">
        <f t="shared" si="3"/>
        <v>180000</v>
      </c>
    </row>
    <row r="12" spans="1:9" ht="30" x14ac:dyDescent="0.25">
      <c r="A12" s="16" t="s">
        <v>70</v>
      </c>
      <c r="B12" s="31" t="s">
        <v>22</v>
      </c>
      <c r="C12" s="17">
        <v>750</v>
      </c>
      <c r="D12" s="17">
        <v>18</v>
      </c>
      <c r="E12" s="17">
        <v>10</v>
      </c>
      <c r="F12" s="18">
        <v>0</v>
      </c>
      <c r="G12" s="18">
        <f t="shared" si="5"/>
        <v>90000</v>
      </c>
      <c r="H12" s="18">
        <f t="shared" si="2"/>
        <v>45000</v>
      </c>
      <c r="I12" s="18">
        <f t="shared" ref="I12" si="6">SUM(F12:H12)</f>
        <v>135000</v>
      </c>
    </row>
    <row r="13" spans="1:9" x14ac:dyDescent="0.25">
      <c r="A13" s="8">
        <v>2</v>
      </c>
      <c r="B13" s="29" t="s">
        <v>37</v>
      </c>
      <c r="C13" s="9" t="s">
        <v>14</v>
      </c>
      <c r="D13" s="10" t="s">
        <v>0</v>
      </c>
      <c r="E13" s="10" t="s">
        <v>1</v>
      </c>
      <c r="F13" s="11">
        <f>SUM(F14,F18,F23)</f>
        <v>186106.84</v>
      </c>
      <c r="G13" s="11">
        <f>SUM(G14,G18,G23)</f>
        <v>772988.88</v>
      </c>
      <c r="H13" s="11">
        <f>SUM(H14,H18,H23)</f>
        <v>386494.44</v>
      </c>
      <c r="I13" s="11">
        <f t="shared" ref="I13:I20" si="7">SUM(F13:H13)</f>
        <v>1345590.16</v>
      </c>
    </row>
    <row r="14" spans="1:9" x14ac:dyDescent="0.25">
      <c r="A14" s="12" t="s">
        <v>5</v>
      </c>
      <c r="B14" s="30" t="s">
        <v>16</v>
      </c>
      <c r="C14" s="13"/>
      <c r="D14" s="14"/>
      <c r="E14" s="14"/>
      <c r="F14" s="15">
        <f>SUM(F15:F17)</f>
        <v>7500</v>
      </c>
      <c r="G14" s="15">
        <f>SUM(G15:G17)</f>
        <v>15000</v>
      </c>
      <c r="H14" s="15">
        <f>SUM(H15:H17)</f>
        <v>7500</v>
      </c>
      <c r="I14" s="15">
        <f t="shared" si="7"/>
        <v>30000</v>
      </c>
    </row>
    <row r="15" spans="1:9" ht="30" x14ac:dyDescent="0.25">
      <c r="A15" s="16" t="s">
        <v>71</v>
      </c>
      <c r="B15" s="31" t="s">
        <v>57</v>
      </c>
      <c r="C15" s="17">
        <v>100</v>
      </c>
      <c r="D15" s="17">
        <v>24</v>
      </c>
      <c r="E15" s="19">
        <v>5</v>
      </c>
      <c r="F15" s="18">
        <f>$C15*$E15*6</f>
        <v>3000</v>
      </c>
      <c r="G15" s="18">
        <f>$C15*$E15*12</f>
        <v>6000</v>
      </c>
      <c r="H15" s="18">
        <f>$C15*$E15*6</f>
        <v>3000</v>
      </c>
      <c r="I15" s="18">
        <f t="shared" si="7"/>
        <v>12000</v>
      </c>
    </row>
    <row r="16" spans="1:9" ht="30" x14ac:dyDescent="0.25">
      <c r="A16" s="16" t="s">
        <v>72</v>
      </c>
      <c r="B16" s="31" t="s">
        <v>56</v>
      </c>
      <c r="C16" s="17">
        <v>100</v>
      </c>
      <c r="D16" s="17">
        <v>24</v>
      </c>
      <c r="E16" s="19">
        <v>5</v>
      </c>
      <c r="F16" s="18">
        <f t="shared" ref="F16:F17" si="8">$C16*$E16*6</f>
        <v>3000</v>
      </c>
      <c r="G16" s="18">
        <f t="shared" ref="G16:G17" si="9">$C16*$E16*12</f>
        <v>6000</v>
      </c>
      <c r="H16" s="18">
        <f>$C16*$E16*6</f>
        <v>3000</v>
      </c>
      <c r="I16" s="18">
        <f t="shared" si="7"/>
        <v>12000</v>
      </c>
    </row>
    <row r="17" spans="1:22" ht="30" x14ac:dyDescent="0.25">
      <c r="A17" s="16" t="s">
        <v>73</v>
      </c>
      <c r="B17" s="31" t="s">
        <v>26</v>
      </c>
      <c r="C17" s="17">
        <v>250</v>
      </c>
      <c r="D17" s="17">
        <v>24</v>
      </c>
      <c r="E17" s="19">
        <v>1</v>
      </c>
      <c r="F17" s="18">
        <f t="shared" si="8"/>
        <v>1500</v>
      </c>
      <c r="G17" s="18">
        <f t="shared" si="9"/>
        <v>3000</v>
      </c>
      <c r="H17" s="18">
        <f>$C17*$E17*6</f>
        <v>1500</v>
      </c>
      <c r="I17" s="18">
        <f t="shared" si="7"/>
        <v>6000</v>
      </c>
    </row>
    <row r="18" spans="1:22" x14ac:dyDescent="0.25">
      <c r="A18" s="12" t="s">
        <v>4</v>
      </c>
      <c r="B18" s="30" t="s">
        <v>60</v>
      </c>
      <c r="C18" s="13"/>
      <c r="D18" s="14"/>
      <c r="E18" s="14"/>
      <c r="F18" s="15">
        <f>SUM(F19:F22)</f>
        <v>8528.4000000000015</v>
      </c>
      <c r="G18" s="15">
        <f>SUM(G19:G22)</f>
        <v>25512</v>
      </c>
      <c r="H18" s="15">
        <f>SUM(H19:H22)</f>
        <v>12756</v>
      </c>
      <c r="I18" s="15">
        <f t="shared" si="7"/>
        <v>46796.4</v>
      </c>
    </row>
    <row r="19" spans="1:22" ht="30" x14ac:dyDescent="0.25">
      <c r="A19" s="16" t="s">
        <v>74</v>
      </c>
      <c r="B19" s="31" t="s">
        <v>61</v>
      </c>
      <c r="C19" s="17">
        <v>54.2</v>
      </c>
      <c r="D19" s="17">
        <v>24</v>
      </c>
      <c r="E19" s="19">
        <v>17</v>
      </c>
      <c r="F19" s="18">
        <f>C19*E19*6</f>
        <v>5528.4000000000005</v>
      </c>
      <c r="G19" s="18">
        <f>$C19*$E19*12</f>
        <v>11056.800000000001</v>
      </c>
      <c r="H19" s="18">
        <f>$C19*$E19*6</f>
        <v>5528.4000000000005</v>
      </c>
      <c r="I19" s="18">
        <f t="shared" si="7"/>
        <v>22113.600000000002</v>
      </c>
    </row>
    <row r="20" spans="1:22" ht="30" x14ac:dyDescent="0.25">
      <c r="A20" s="16" t="s">
        <v>63</v>
      </c>
      <c r="B20" s="31" t="s">
        <v>61</v>
      </c>
      <c r="C20" s="17">
        <v>54.2</v>
      </c>
      <c r="D20" s="17">
        <v>18</v>
      </c>
      <c r="E20" s="19">
        <v>13</v>
      </c>
      <c r="F20" s="18">
        <v>0</v>
      </c>
      <c r="G20" s="18">
        <f>$C20*$E20*12</f>
        <v>8455.2000000000007</v>
      </c>
      <c r="H20" s="18">
        <f>$C20*$E20*6</f>
        <v>4227.6000000000004</v>
      </c>
      <c r="I20" s="18">
        <f t="shared" si="7"/>
        <v>12682.800000000001</v>
      </c>
    </row>
    <row r="21" spans="1:22" ht="30" x14ac:dyDescent="0.25">
      <c r="A21" s="16" t="s">
        <v>75</v>
      </c>
      <c r="B21" s="31" t="s">
        <v>58</v>
      </c>
      <c r="C21" s="17">
        <v>50</v>
      </c>
      <c r="D21" s="17">
        <v>24</v>
      </c>
      <c r="E21" s="19">
        <v>5</v>
      </c>
      <c r="F21" s="18">
        <f>$C21*$E21*6</f>
        <v>1500</v>
      </c>
      <c r="G21" s="18">
        <f>$C21*$E21*12</f>
        <v>3000</v>
      </c>
      <c r="H21" s="18">
        <f>$C21*$E21*6</f>
        <v>1500</v>
      </c>
      <c r="I21" s="18">
        <f t="shared" ref="I21:I22" si="10">SUM(F21:H21)</f>
        <v>6000</v>
      </c>
    </row>
    <row r="22" spans="1:22" ht="30" x14ac:dyDescent="0.25">
      <c r="A22" s="16" t="s">
        <v>76</v>
      </c>
      <c r="B22" s="31" t="s">
        <v>59</v>
      </c>
      <c r="C22" s="17">
        <v>50</v>
      </c>
      <c r="D22" s="17">
        <v>24</v>
      </c>
      <c r="E22" s="19">
        <v>5</v>
      </c>
      <c r="F22" s="18">
        <f>$C22*$E22*6</f>
        <v>1500</v>
      </c>
      <c r="G22" s="18">
        <f>$C22*$E22*12</f>
        <v>3000</v>
      </c>
      <c r="H22" s="18">
        <f>$C22*$E22*6</f>
        <v>1500</v>
      </c>
      <c r="I22" s="18">
        <f t="shared" si="10"/>
        <v>6000</v>
      </c>
    </row>
    <row r="23" spans="1:22" x14ac:dyDescent="0.25">
      <c r="A23" s="12" t="s">
        <v>6</v>
      </c>
      <c r="B23" s="30" t="s">
        <v>35</v>
      </c>
      <c r="C23" s="13"/>
      <c r="D23" s="14"/>
      <c r="E23" s="14"/>
      <c r="F23" s="15">
        <f>SUM(F24:F25)</f>
        <v>170078.44</v>
      </c>
      <c r="G23" s="15">
        <f>SUM(G24:G25)</f>
        <v>732476.88</v>
      </c>
      <c r="H23" s="15">
        <f>SUM(H24:H25)</f>
        <v>366238.44</v>
      </c>
      <c r="I23" s="15">
        <f>SUM(F23:H23)</f>
        <v>1268793.76</v>
      </c>
    </row>
    <row r="24" spans="1:22" ht="127.5" x14ac:dyDescent="0.25">
      <c r="A24" s="16" t="s">
        <v>77</v>
      </c>
      <c r="B24" s="32" t="s">
        <v>29</v>
      </c>
      <c r="C24" s="17">
        <v>11999.74</v>
      </c>
      <c r="D24" s="17">
        <v>24</v>
      </c>
      <c r="E24" s="20">
        <v>1</v>
      </c>
      <c r="F24" s="18">
        <f>$C24*6</f>
        <v>71998.44</v>
      </c>
      <c r="G24" s="18">
        <f>$C24*12</f>
        <v>143996.88</v>
      </c>
      <c r="H24" s="18">
        <f t="shared" ref="H24" si="11">$C24*6</f>
        <v>71998.44</v>
      </c>
      <c r="I24" s="18">
        <f t="shared" si="3"/>
        <v>287993.76</v>
      </c>
      <c r="K24" s="21"/>
    </row>
    <row r="25" spans="1:22" ht="89.25" x14ac:dyDescent="0.25">
      <c r="A25" s="16" t="s">
        <v>78</v>
      </c>
      <c r="B25" s="32" t="s">
        <v>97</v>
      </c>
      <c r="C25" s="17">
        <v>49040</v>
      </c>
      <c r="D25" s="17">
        <v>20</v>
      </c>
      <c r="E25" s="20">
        <v>1</v>
      </c>
      <c r="F25" s="18">
        <f>$C25*2</f>
        <v>98080</v>
      </c>
      <c r="G25" s="18">
        <f>$C25*12</f>
        <v>588480</v>
      </c>
      <c r="H25" s="18">
        <f>$C25*6</f>
        <v>294240</v>
      </c>
      <c r="I25" s="18">
        <f t="shared" ref="I25" si="12">SUM(F25:H25)</f>
        <v>980800</v>
      </c>
      <c r="K25" s="21"/>
      <c r="T25" s="21"/>
      <c r="U25" s="21"/>
      <c r="V25" s="21">
        <f>C25*18</f>
        <v>882720</v>
      </c>
    </row>
    <row r="26" spans="1:22" ht="30" x14ac:dyDescent="0.25">
      <c r="A26" s="8">
        <v>3</v>
      </c>
      <c r="B26" s="29" t="s">
        <v>36</v>
      </c>
      <c r="C26" s="9" t="s">
        <v>10</v>
      </c>
      <c r="D26" s="112" t="s">
        <v>40</v>
      </c>
      <c r="E26" s="112"/>
      <c r="F26" s="11">
        <f>SUM(F27,F33)</f>
        <v>165499</v>
      </c>
      <c r="G26" s="11">
        <f t="shared" ref="G26:H26" si="13">SUM(G27,G33)</f>
        <v>413498</v>
      </c>
      <c r="H26" s="11">
        <f t="shared" si="13"/>
        <v>72000</v>
      </c>
      <c r="I26" s="11">
        <f t="shared" si="3"/>
        <v>650997</v>
      </c>
    </row>
    <row r="27" spans="1:22" x14ac:dyDescent="0.25">
      <c r="A27" s="12" t="s">
        <v>7</v>
      </c>
      <c r="B27" s="30" t="s">
        <v>27</v>
      </c>
      <c r="C27" s="13"/>
      <c r="D27" s="14"/>
      <c r="E27" s="14"/>
      <c r="F27" s="15">
        <f>SUM(F28:F32)</f>
        <v>63499</v>
      </c>
      <c r="G27" s="15">
        <f t="shared" ref="G27:H27" si="14">SUM(G28:G32)</f>
        <v>179498</v>
      </c>
      <c r="H27" s="15">
        <f t="shared" si="14"/>
        <v>0</v>
      </c>
      <c r="I27" s="15">
        <f t="shared" si="3"/>
        <v>242997</v>
      </c>
    </row>
    <row r="28" spans="1:22" ht="30" x14ac:dyDescent="0.25">
      <c r="A28" s="16" t="s">
        <v>79</v>
      </c>
      <c r="B28" s="31" t="s">
        <v>18</v>
      </c>
      <c r="C28" s="17">
        <v>10500</v>
      </c>
      <c r="D28" s="113">
        <v>5</v>
      </c>
      <c r="E28" s="113"/>
      <c r="F28" s="18">
        <v>10500</v>
      </c>
      <c r="G28" s="18">
        <f>C28*4</f>
        <v>42000</v>
      </c>
      <c r="H28" s="18"/>
      <c r="I28" s="18">
        <f t="shared" si="3"/>
        <v>52500</v>
      </c>
    </row>
    <row r="29" spans="1:22" ht="30" x14ac:dyDescent="0.25">
      <c r="A29" s="16" t="s">
        <v>87</v>
      </c>
      <c r="B29" s="31" t="s">
        <v>19</v>
      </c>
      <c r="C29" s="17">
        <v>15999</v>
      </c>
      <c r="D29" s="113">
        <v>3</v>
      </c>
      <c r="E29" s="113"/>
      <c r="F29" s="18">
        <f>C29*1</f>
        <v>15999</v>
      </c>
      <c r="G29" s="18">
        <f>C29*2</f>
        <v>31998</v>
      </c>
      <c r="H29" s="18"/>
      <c r="I29" s="18">
        <f t="shared" si="3"/>
        <v>47997</v>
      </c>
    </row>
    <row r="30" spans="1:22" ht="30" x14ac:dyDescent="0.25">
      <c r="A30" s="16" t="s">
        <v>88</v>
      </c>
      <c r="B30" s="31" t="s">
        <v>33</v>
      </c>
      <c r="C30" s="17">
        <v>5500</v>
      </c>
      <c r="D30" s="113">
        <v>20</v>
      </c>
      <c r="E30" s="113"/>
      <c r="F30" s="18">
        <f>C30*5</f>
        <v>27500</v>
      </c>
      <c r="G30" s="18">
        <f>C30*15</f>
        <v>82500</v>
      </c>
      <c r="H30" s="18"/>
      <c r="I30" s="18">
        <f t="shared" si="3"/>
        <v>110000</v>
      </c>
    </row>
    <row r="31" spans="1:22" ht="30" x14ac:dyDescent="0.25">
      <c r="A31" s="16" t="s">
        <v>89</v>
      </c>
      <c r="B31" s="31" t="s">
        <v>39</v>
      </c>
      <c r="C31" s="17">
        <v>7500</v>
      </c>
      <c r="D31" s="113">
        <v>3</v>
      </c>
      <c r="E31" s="113"/>
      <c r="F31" s="18">
        <f>C31</f>
        <v>7500</v>
      </c>
      <c r="G31" s="18">
        <f>C31*2</f>
        <v>15000</v>
      </c>
      <c r="H31" s="18"/>
      <c r="I31" s="18">
        <f t="shared" si="3"/>
        <v>22500</v>
      </c>
    </row>
    <row r="32" spans="1:22" ht="30" x14ac:dyDescent="0.25">
      <c r="A32" s="16" t="s">
        <v>90</v>
      </c>
      <c r="B32" s="31" t="s">
        <v>34</v>
      </c>
      <c r="C32" s="17">
        <v>1000</v>
      </c>
      <c r="D32" s="113">
        <v>10</v>
      </c>
      <c r="E32" s="113"/>
      <c r="F32" s="18">
        <v>2000</v>
      </c>
      <c r="G32" s="18">
        <v>8000</v>
      </c>
      <c r="H32" s="18"/>
      <c r="I32" s="18">
        <f t="shared" si="3"/>
        <v>10000</v>
      </c>
    </row>
    <row r="33" spans="1:20" x14ac:dyDescent="0.25">
      <c r="A33" s="12" t="s">
        <v>8</v>
      </c>
      <c r="B33" s="30" t="s">
        <v>30</v>
      </c>
      <c r="C33" s="13"/>
      <c r="D33" s="13"/>
      <c r="E33" s="13"/>
      <c r="F33" s="15">
        <f>SUM(F34:F35)</f>
        <v>102000</v>
      </c>
      <c r="G33" s="15">
        <f t="shared" ref="G33:H33" si="15">SUM(G34:G35)</f>
        <v>234000</v>
      </c>
      <c r="H33" s="15">
        <f t="shared" si="15"/>
        <v>72000</v>
      </c>
      <c r="I33" s="15">
        <f t="shared" si="3"/>
        <v>408000</v>
      </c>
    </row>
    <row r="34" spans="1:20" ht="30" x14ac:dyDescent="0.25">
      <c r="A34" s="16" t="s">
        <v>80</v>
      </c>
      <c r="B34" s="31" t="s">
        <v>38</v>
      </c>
      <c r="C34" s="17">
        <v>120000</v>
      </c>
      <c r="D34" s="113">
        <v>1</v>
      </c>
      <c r="E34" s="113"/>
      <c r="F34" s="18">
        <v>30000</v>
      </c>
      <c r="G34" s="18">
        <v>90000</v>
      </c>
      <c r="H34" s="18"/>
      <c r="I34" s="18">
        <f t="shared" si="3"/>
        <v>120000</v>
      </c>
    </row>
    <row r="35" spans="1:20" ht="30" x14ac:dyDescent="0.25">
      <c r="A35" s="16" t="s">
        <v>91</v>
      </c>
      <c r="B35" s="31" t="s">
        <v>32</v>
      </c>
      <c r="C35" s="17">
        <v>12000</v>
      </c>
      <c r="D35" s="113">
        <v>24</v>
      </c>
      <c r="E35" s="113"/>
      <c r="F35" s="18">
        <f>$C35*6</f>
        <v>72000</v>
      </c>
      <c r="G35" s="18">
        <f>$C35*12</f>
        <v>144000</v>
      </c>
      <c r="H35" s="18">
        <f t="shared" ref="H35" si="16">$C35*6</f>
        <v>72000</v>
      </c>
      <c r="I35" s="18">
        <f t="shared" si="3"/>
        <v>288000</v>
      </c>
    </row>
    <row r="36" spans="1:20" ht="30" x14ac:dyDescent="0.25">
      <c r="A36" s="8">
        <v>4</v>
      </c>
      <c r="B36" s="29" t="s">
        <v>11</v>
      </c>
      <c r="C36" s="9" t="s">
        <v>10</v>
      </c>
      <c r="D36" s="118" t="s">
        <v>40</v>
      </c>
      <c r="E36" s="119"/>
      <c r="F36" s="11">
        <f>SUM(F37,F40)</f>
        <v>87989.2</v>
      </c>
      <c r="G36" s="11">
        <f t="shared" ref="G36:H36" si="17">SUM(G37,G40)</f>
        <v>212626.4</v>
      </c>
      <c r="H36" s="11">
        <f t="shared" si="17"/>
        <v>124637.2</v>
      </c>
      <c r="I36" s="11">
        <f t="shared" ref="I36:I44" si="18">SUM(F36:H36)</f>
        <v>425252.8</v>
      </c>
    </row>
    <row r="37" spans="1:20" x14ac:dyDescent="0.25">
      <c r="A37" s="12" t="s">
        <v>81</v>
      </c>
      <c r="B37" s="30" t="s">
        <v>12</v>
      </c>
      <c r="C37" s="13"/>
      <c r="D37" s="14"/>
      <c r="E37" s="14"/>
      <c r="F37" s="15">
        <f>SUM(F38:F39)</f>
        <v>28249.200000000001</v>
      </c>
      <c r="G37" s="15">
        <f t="shared" ref="G37:H37" si="19">SUM(G38:G39)</f>
        <v>75146.399999999994</v>
      </c>
      <c r="H37" s="15">
        <f t="shared" si="19"/>
        <v>46897.2</v>
      </c>
      <c r="I37" s="15">
        <f t="shared" si="18"/>
        <v>150292.79999999999</v>
      </c>
      <c r="K37" s="22" t="s">
        <v>45</v>
      </c>
      <c r="L37" s="22" t="s">
        <v>46</v>
      </c>
      <c r="M37" s="22" t="s">
        <v>0</v>
      </c>
      <c r="N37" s="22" t="s">
        <v>50</v>
      </c>
      <c r="O37" s="22" t="s">
        <v>12</v>
      </c>
      <c r="P37" s="22" t="s">
        <v>47</v>
      </c>
      <c r="Q37" s="22" t="s">
        <v>54</v>
      </c>
      <c r="R37" s="22" t="s">
        <v>48</v>
      </c>
    </row>
    <row r="38" spans="1:20" ht="30" x14ac:dyDescent="0.25">
      <c r="A38" s="16" t="s">
        <v>82</v>
      </c>
      <c r="B38" s="31" t="s">
        <v>41</v>
      </c>
      <c r="C38" s="17">
        <v>224.2</v>
      </c>
      <c r="D38" s="116">
        <v>504</v>
      </c>
      <c r="E38" s="117"/>
      <c r="F38" s="18">
        <v>28249.200000000001</v>
      </c>
      <c r="G38" s="18">
        <v>56498.400000000001</v>
      </c>
      <c r="H38" s="18">
        <v>28249.200000000001</v>
      </c>
      <c r="I38" s="18">
        <f t="shared" si="18"/>
        <v>112996.8</v>
      </c>
      <c r="J38" s="1" t="s">
        <v>51</v>
      </c>
      <c r="K38" s="21">
        <v>3</v>
      </c>
      <c r="L38" s="21">
        <v>2</v>
      </c>
      <c r="M38" s="1">
        <v>6</v>
      </c>
      <c r="N38" s="21">
        <v>3.5</v>
      </c>
      <c r="O38" s="23">
        <f>K38*L38*M38*N38</f>
        <v>126</v>
      </c>
      <c r="P38" s="23">
        <f>O38*$C$38</f>
        <v>28249.199999999997</v>
      </c>
      <c r="Q38" s="23">
        <f>K38*L38*M38</f>
        <v>36</v>
      </c>
      <c r="R38" s="21">
        <f>K38*L38*M38*$C$41</f>
        <v>54000</v>
      </c>
    </row>
    <row r="39" spans="1:20" ht="30" x14ac:dyDescent="0.25">
      <c r="A39" s="16" t="s">
        <v>92</v>
      </c>
      <c r="B39" s="31" t="s">
        <v>42</v>
      </c>
      <c r="C39" s="17">
        <v>1554</v>
      </c>
      <c r="D39" s="116">
        <v>24</v>
      </c>
      <c r="E39" s="117"/>
      <c r="F39" s="18">
        <v>0</v>
      </c>
      <c r="G39" s="18">
        <v>18648</v>
      </c>
      <c r="H39" s="18">
        <v>18648</v>
      </c>
      <c r="I39" s="18">
        <f t="shared" si="18"/>
        <v>37296</v>
      </c>
      <c r="J39" s="1" t="s">
        <v>52</v>
      </c>
      <c r="K39" s="21">
        <v>3</v>
      </c>
      <c r="L39" s="21">
        <v>2</v>
      </c>
      <c r="M39" s="1">
        <v>12</v>
      </c>
      <c r="N39" s="21">
        <v>3.5</v>
      </c>
      <c r="O39" s="23">
        <f t="shared" ref="O39:O40" si="20">K39*L39*M39*N39</f>
        <v>252</v>
      </c>
      <c r="P39" s="23">
        <f>O39*$C$38</f>
        <v>56498.399999999994</v>
      </c>
      <c r="Q39" s="23">
        <f t="shared" ref="Q39:Q40" si="21">K39*L39*M39</f>
        <v>72</v>
      </c>
      <c r="R39" s="21">
        <f>K39*L39*M39*$C$41</f>
        <v>108000</v>
      </c>
    </row>
    <row r="40" spans="1:20" x14ac:dyDescent="0.25">
      <c r="A40" s="12" t="s">
        <v>83</v>
      </c>
      <c r="B40" s="30" t="s">
        <v>13</v>
      </c>
      <c r="C40" s="13"/>
      <c r="D40" s="14"/>
      <c r="E40" s="14"/>
      <c r="F40" s="15">
        <f>SUM(F41:F44)</f>
        <v>59740</v>
      </c>
      <c r="G40" s="15">
        <f t="shared" ref="G40:H40" si="22">SUM(G41:G44)</f>
        <v>137480</v>
      </c>
      <c r="H40" s="15">
        <f t="shared" si="22"/>
        <v>77740</v>
      </c>
      <c r="I40" s="15">
        <f t="shared" si="18"/>
        <v>274960</v>
      </c>
      <c r="J40" s="1" t="s">
        <v>53</v>
      </c>
      <c r="K40" s="21">
        <v>3</v>
      </c>
      <c r="L40" s="21">
        <v>2</v>
      </c>
      <c r="M40" s="1">
        <v>6</v>
      </c>
      <c r="N40" s="21">
        <v>3.5</v>
      </c>
      <c r="O40" s="23">
        <f t="shared" si="20"/>
        <v>126</v>
      </c>
      <c r="P40" s="23">
        <f>O40*$C$38</f>
        <v>28249.199999999997</v>
      </c>
      <c r="Q40" s="23">
        <f t="shared" si="21"/>
        <v>36</v>
      </c>
      <c r="R40" s="21">
        <f>K40*L40*M40*$C$41</f>
        <v>54000</v>
      </c>
    </row>
    <row r="41" spans="1:20" ht="30" x14ac:dyDescent="0.25">
      <c r="A41" s="16" t="s">
        <v>84</v>
      </c>
      <c r="B41" s="31" t="s">
        <v>17</v>
      </c>
      <c r="C41" s="17">
        <v>1500</v>
      </c>
      <c r="D41" s="116">
        <v>144</v>
      </c>
      <c r="E41" s="117"/>
      <c r="F41" s="18">
        <v>54000</v>
      </c>
      <c r="G41" s="18">
        <v>108000</v>
      </c>
      <c r="H41" s="18">
        <v>54000</v>
      </c>
      <c r="I41" s="18">
        <f t="shared" si="18"/>
        <v>216000</v>
      </c>
      <c r="O41" s="21">
        <f>SUM(O38:O40)</f>
        <v>504</v>
      </c>
      <c r="P41" s="21">
        <f>SUM(P38:P40)</f>
        <v>112996.79999999999</v>
      </c>
      <c r="Q41" s="21">
        <f>SUM(Q38:Q40)</f>
        <v>144</v>
      </c>
      <c r="R41" s="21">
        <f>SUM(R38:R40)</f>
        <v>216000</v>
      </c>
      <c r="T41" s="21">
        <f>180*C41</f>
        <v>270000</v>
      </c>
    </row>
    <row r="42" spans="1:20" ht="30" x14ac:dyDescent="0.25">
      <c r="A42" s="16" t="s">
        <v>93</v>
      </c>
      <c r="B42" s="31" t="s">
        <v>43</v>
      </c>
      <c r="C42" s="17">
        <v>12000</v>
      </c>
      <c r="D42" s="116">
        <v>3</v>
      </c>
      <c r="E42" s="117"/>
      <c r="F42" s="18">
        <v>0</v>
      </c>
      <c r="G42" s="18">
        <v>18000</v>
      </c>
      <c r="H42" s="18">
        <v>18000</v>
      </c>
      <c r="I42" s="18">
        <f t="shared" si="18"/>
        <v>36000</v>
      </c>
    </row>
    <row r="43" spans="1:20" ht="30" x14ac:dyDescent="0.25">
      <c r="A43" s="16" t="s">
        <v>94</v>
      </c>
      <c r="B43" s="31" t="s">
        <v>15</v>
      </c>
      <c r="C43" s="17">
        <v>390</v>
      </c>
      <c r="D43" s="116">
        <v>40</v>
      </c>
      <c r="E43" s="117"/>
      <c r="F43" s="18">
        <v>3900</v>
      </c>
      <c r="G43" s="18">
        <v>7800</v>
      </c>
      <c r="H43" s="18">
        <v>3900</v>
      </c>
      <c r="I43" s="18">
        <f t="shared" si="18"/>
        <v>15600</v>
      </c>
    </row>
    <row r="44" spans="1:20" ht="30" x14ac:dyDescent="0.25">
      <c r="A44" s="16" t="s">
        <v>95</v>
      </c>
      <c r="B44" s="31" t="s">
        <v>28</v>
      </c>
      <c r="C44" s="17">
        <v>40</v>
      </c>
      <c r="D44" s="116">
        <v>184</v>
      </c>
      <c r="E44" s="117"/>
      <c r="F44" s="18">
        <v>1840</v>
      </c>
      <c r="G44" s="18">
        <v>3680</v>
      </c>
      <c r="H44" s="18">
        <v>1840</v>
      </c>
      <c r="I44" s="18">
        <f t="shared" si="18"/>
        <v>7360</v>
      </c>
    </row>
    <row r="45" spans="1:20" x14ac:dyDescent="0.25">
      <c r="A45" s="8">
        <v>5</v>
      </c>
      <c r="B45" s="29" t="s">
        <v>20</v>
      </c>
      <c r="C45" s="9" t="s">
        <v>14</v>
      </c>
      <c r="D45" s="112" t="s">
        <v>0</v>
      </c>
      <c r="E45" s="112"/>
      <c r="F45" s="11">
        <f>SUM(F46)</f>
        <v>55615.603200000005</v>
      </c>
      <c r="G45" s="11">
        <f t="shared" ref="G45:H46" si="23">SUM(G46)</f>
        <v>176729.0624</v>
      </c>
      <c r="H45" s="11">
        <f t="shared" si="23"/>
        <v>79050.531199999998</v>
      </c>
      <c r="I45" s="11">
        <f t="shared" si="3"/>
        <v>311395.19680000003</v>
      </c>
    </row>
    <row r="46" spans="1:20" x14ac:dyDescent="0.25">
      <c r="A46" s="12" t="s">
        <v>85</v>
      </c>
      <c r="B46" s="30" t="s">
        <v>20</v>
      </c>
      <c r="C46" s="15"/>
      <c r="D46" s="114"/>
      <c r="E46" s="114"/>
      <c r="F46" s="15">
        <f>SUM(F47)</f>
        <v>55615.603200000005</v>
      </c>
      <c r="G46" s="15">
        <f t="shared" si="23"/>
        <v>176729.0624</v>
      </c>
      <c r="H46" s="15">
        <f t="shared" si="23"/>
        <v>79050.531199999998</v>
      </c>
      <c r="I46" s="15">
        <f t="shared" si="3"/>
        <v>311395.19680000003</v>
      </c>
    </row>
    <row r="47" spans="1:20" ht="30" x14ac:dyDescent="0.25">
      <c r="A47" s="16" t="s">
        <v>86</v>
      </c>
      <c r="B47" s="33" t="s">
        <v>96</v>
      </c>
      <c r="C47" s="24">
        <f>I47/24</f>
        <v>12974.799866666668</v>
      </c>
      <c r="D47" s="115">
        <v>24</v>
      </c>
      <c r="E47" s="115"/>
      <c r="F47" s="25">
        <f>SUM(F26,F13,F36,F3)*8%</f>
        <v>55615.603200000005</v>
      </c>
      <c r="G47" s="25">
        <f>SUM(G26,G13,G36,G3)*8%</f>
        <v>176729.0624</v>
      </c>
      <c r="H47" s="25">
        <f>SUM(H26,H13,H36,H3)*8%</f>
        <v>79050.531199999998</v>
      </c>
      <c r="I47" s="25">
        <f t="shared" si="3"/>
        <v>311395.19680000003</v>
      </c>
    </row>
    <row r="48" spans="1:20" x14ac:dyDescent="0.25">
      <c r="A48" s="2"/>
      <c r="B48" s="3"/>
      <c r="C48" s="4"/>
      <c r="D48" s="5"/>
      <c r="E48" s="6" t="s">
        <v>9</v>
      </c>
      <c r="F48" s="7">
        <f>SUM(F3,F36,F13,F26,F45)</f>
        <v>750810.64320000005</v>
      </c>
      <c r="G48" s="7">
        <f>SUM(G3,G36,G13,G26,G45)</f>
        <v>2385842.3424000004</v>
      </c>
      <c r="H48" s="7">
        <f>SUM(H3,H36,H13,H26,H45)</f>
        <v>1067182.1712</v>
      </c>
      <c r="I48" s="7">
        <f>SUM(F48:H48)</f>
        <v>4203835.1568</v>
      </c>
    </row>
  </sheetData>
  <mergeCells count="18">
    <mergeCell ref="D32:E32"/>
    <mergeCell ref="D34:E34"/>
    <mergeCell ref="D35:E35"/>
    <mergeCell ref="D46:E46"/>
    <mergeCell ref="D47:E47"/>
    <mergeCell ref="D45:E45"/>
    <mergeCell ref="D44:E44"/>
    <mergeCell ref="D36:E36"/>
    <mergeCell ref="D38:E38"/>
    <mergeCell ref="D39:E39"/>
    <mergeCell ref="D41:E41"/>
    <mergeCell ref="D42:E42"/>
    <mergeCell ref="D43:E43"/>
    <mergeCell ref="D26:E26"/>
    <mergeCell ref="D28:E28"/>
    <mergeCell ref="D29:E29"/>
    <mergeCell ref="D30:E30"/>
    <mergeCell ref="D31:E31"/>
  </mergeCells>
  <phoneticPr fontId="2" type="noConversion"/>
  <pageMargins left="0.25" right="0.25" top="0.75" bottom="0.75" header="0.3" footer="0.3"/>
  <pageSetup paperSize="9" scale="34" fitToHeight="0" orientation="portrait" r:id="rId1"/>
  <ignoredErrors>
    <ignoredError sqref="I28:I29 I48" formulaRange="1"/>
    <ignoredError sqref="F4:I4 F12:I14 F9:H11 F25:I25 I23 F8:I8 F5:H7 F24:H24 F20:I22 F15:H19 G30:H47" formula="1"/>
    <ignoredError sqref="I15:I19 I24 I5:I7 F23:H23 I9:I11 I30:I47"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6 a 7 V r A 3 k f y l A A A A 9 g A A A B I A H A B D b 2 5 m a W c v U G F j a 2 F n Z S 5 4 b W w g o h g A K K A U A A A A A A A A A A A A A A A A A A A A A A A A A A A A h Y 9 N D o I w G E S v Q r q n P 0 i M I R 8 l 0 a 0 k R h P j t q k V G q E Q W i x 3 c + G R v I I Y R d 2 5 n D d v M X O / 3 i A b 6 i q 4 q M 7 q x q S I Y Y o C Z W R z 1 K Z I U e 9 O 4 Q J l H D Z C n k W h g l E 2 N h n s M U W l c 2 1 C i P c e + x l u u o J E l D J y y N c 7 W a p a o I + s / 8 u h N t Y J I x X i s H + N 4 R F m b I 5 j G m M K Z I K Q a / M V o n H v s / 2 B s O o r 1 3 e K t y 5 c b o F M E c j 7 A 3 8 A U E s D B B Q A A g A I A B e m u 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p r t W K I p H u A 4 A A A A R A A A A E w A c A E Z v c m 1 1 b G F z L 1 N l Y 3 R p b 2 4 x L m 0 g o h g A K K A U A A A A A A A A A A A A A A A A A A A A A A A A A A A A K 0 5 N L s n M z 1 M I h t C G 1 g B Q S w E C L Q A U A A I A C A A X p r t W s D e R / K U A A A D 2 A A A A E g A A A A A A A A A A A A A A A A A A A A A A Q 2 9 u Z m l n L 1 B h Y 2 t h Z 2 U u e G 1 s U E s B A i 0 A F A A C A A g A F 6 a 7 V g / K 6 a u k A A A A 6 Q A A A B M A A A A A A A A A A A A A A A A A 8 Q A A A F t D b 2 5 0 Z W 5 0 X 1 R 5 c G V z X S 5 4 b W x Q S w E C L Q A U A A I A C A A X p r t 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G A c 3 k X T e t k 6 k N m c 4 7 t 6 m k Q A A A A A C A A A A A A A Q Z g A A A A E A A C A A A A A N r 0 t i s D q v l x G 9 4 / q Q S p q H z a N V k 7 o h G q y s c u d X I Q A g 2 Q A A A A A O g A A A A A I A A C A A A A A Z O m z i Q k 3 F 7 z L 7 o q L R R 1 S 1 w N U S c g H 5 6 M g t g b 0 d N e T I z l A A A A C t + l 5 c i n + E E g R i m s g H w y d X J C x M r u L c V 9 W 6 I / o V 8 5 P 3 V Z U t h E a f Y K q 4 5 R B S A 0 J 5 z z I 8 T 4 f + X C r F / 7 4 E q a 2 4 9 o I R a g x u p 0 u 6 r 4 X r E 6 K d u j 1 h V E A A A A C W M g 9 K M X J X i a H R C N p 0 F E w M o Q e t V k K V N 3 e q p B M H G C T g d W n A x X a q 7 V a f o a U a 3 g m 1 C B G n i I M y t 1 0 e D N p y M Z 4 4 Z F V e < / D a t a M a s h u p > 
</file>

<file path=customXml/itemProps1.xml><?xml version="1.0" encoding="utf-8"?>
<ds:datastoreItem xmlns:ds="http://schemas.openxmlformats.org/officeDocument/2006/customXml" ds:itemID="{C672B017-345D-4AB9-B0DF-17013974DF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Despesas</vt:lpstr>
      <vt:lpstr>Metas Cecampe</vt:lpstr>
      <vt:lpstr>Cronograma de Desembolso</vt:lpstr>
      <vt:lpstr>Orçamento 24 meses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Poty</dc:creator>
  <cp:lastModifiedBy>Poty Lucena</cp:lastModifiedBy>
  <cp:lastPrinted>2021-02-27T23:14:07Z</cp:lastPrinted>
  <dcterms:created xsi:type="dcterms:W3CDTF">2019-10-30T02:46:32Z</dcterms:created>
  <dcterms:modified xsi:type="dcterms:W3CDTF">2023-10-09T02:47:13Z</dcterms:modified>
</cp:coreProperties>
</file>